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5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6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eatherrunberg/OneDrive - University of Denver/Majestic_Lab/Soot-EPFR-OH Project/Data_Repository/"/>
    </mc:Choice>
  </mc:AlternateContent>
  <xr:revisionPtr revIDLastSave="0" documentId="13_ncr:1_{94C468A1-5B5B-1E4F-A538-B5A3D9E4B35A}" xr6:coauthVersionLast="47" xr6:coauthVersionMax="47" xr10:uidLastSave="{00000000-0000-0000-0000-000000000000}"/>
  <bookViews>
    <workbookView xWindow="0" yWindow="500" windowWidth="33600" windowHeight="19120" xr2:uid="{4EA0B800-1C69-D74E-96D5-490282D3DEE3}"/>
  </bookViews>
  <sheets>
    <sheet name="Soot Data" sheetId="1" r:id="rId1"/>
    <sheet name="Soot density (mg mm-1)" sheetId="2" r:id="rId2"/>
    <sheet name="g factor" sheetId="3" r:id="rId3"/>
    <sheet name="Line Shape" sheetId="4" r:id="rId4"/>
    <sheet name="Integration areas" sheetId="5" r:id="rId5"/>
    <sheet name="spin density (spins mg)" sheetId="6" r:id="rId6"/>
    <sheet name="EPR Params" sheetId="7" r:id="rId7"/>
    <sheet name="Spin Stats" sheetId="9" r:id="rId8"/>
    <sheet name="Table for Paper" sheetId="10" r:id="rId9"/>
  </sheets>
  <definedNames>
    <definedName name="_xlchart.v1.0" hidden="1">'Soot density (mg mm-1)'!$B$2:$B$22</definedName>
    <definedName name="_xlchart.v1.1" hidden="1">'Soot density (mg mm-1)'!$C$1</definedName>
    <definedName name="_xlchart.v1.10" hidden="1">'Line Shape'!$D$2:$D$22</definedName>
    <definedName name="_xlchart.v1.11" hidden="1">'spin density (spins mg)'!$B$2:$B$22</definedName>
    <definedName name="_xlchart.v1.12" hidden="1">'spin density (spins mg)'!$C$1</definedName>
    <definedName name="_xlchart.v1.13" hidden="1">'spin density (spins mg)'!$C$2:$C$22</definedName>
    <definedName name="_xlchart.v1.14" hidden="1">'EPR Params'!$B$2:$B$22</definedName>
    <definedName name="_xlchart.v1.15" hidden="1">'EPR Params'!$D$1</definedName>
    <definedName name="_xlchart.v1.16" hidden="1">'EPR Params'!$D$2:$D$22</definedName>
    <definedName name="_xlchart.v1.17" hidden="1">'EPR Params'!$B$2:$B$22</definedName>
    <definedName name="_xlchart.v1.18" hidden="1">'EPR Params'!$C$1</definedName>
    <definedName name="_xlchart.v1.19" hidden="1">'EPR Params'!$C$2:$C$22</definedName>
    <definedName name="_xlchart.v1.2" hidden="1">'Soot density (mg mm-1)'!$C$2:$C$22</definedName>
    <definedName name="_xlchart.v1.3" hidden="1">'g factor'!$B$2:$B$22</definedName>
    <definedName name="_xlchart.v1.4" hidden="1">'g factor'!$C$1</definedName>
    <definedName name="_xlchart.v1.5" hidden="1">'g factor'!$C$2:$C$22</definedName>
    <definedName name="_xlchart.v1.6" hidden="1">'Line Shape'!$B$2:$B$22</definedName>
    <definedName name="_xlchart.v1.7" hidden="1">'Line Shape'!$C$1</definedName>
    <definedName name="_xlchart.v1.8" hidden="1">'Line Shape'!$C$2:$C$22</definedName>
    <definedName name="_xlchart.v1.9" hidden="1">'Line Shape'!$D$1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" i="9" l="1"/>
  <c r="E22" i="10"/>
  <c r="D22" i="10"/>
  <c r="E21" i="10"/>
  <c r="D21" i="10"/>
  <c r="E20" i="10"/>
  <c r="D20" i="10"/>
  <c r="E19" i="10"/>
  <c r="D19" i="10"/>
  <c r="E18" i="10"/>
  <c r="D18" i="10"/>
  <c r="E17" i="10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E3" i="10"/>
  <c r="D3" i="10"/>
  <c r="E2" i="10"/>
  <c r="D2" i="10"/>
  <c r="E1" i="10"/>
  <c r="D1" i="10"/>
  <c r="B33" i="9" l="1"/>
  <c r="B31" i="9"/>
  <c r="B30" i="9"/>
  <c r="B29" i="9"/>
  <c r="B28" i="9"/>
  <c r="B32" i="9"/>
  <c r="B34" i="9"/>
  <c r="B35" i="9"/>
  <c r="B36" i="9"/>
  <c r="B37" i="9"/>
  <c r="B27" i="9"/>
  <c r="AZ45" i="9" l="1"/>
  <c r="AZ30" i="9"/>
  <c r="AZ15" i="9"/>
  <c r="AQ47" i="9"/>
  <c r="AQ31" i="9"/>
  <c r="AQ15" i="9"/>
  <c r="AH60" i="9"/>
  <c r="AH45" i="9"/>
  <c r="AH30" i="9"/>
  <c r="AH14" i="9"/>
  <c r="Y80" i="9"/>
  <c r="Y64" i="9"/>
  <c r="Y48" i="9"/>
  <c r="Y32" i="9"/>
  <c r="Y16" i="9"/>
  <c r="O91" i="9"/>
  <c r="O76" i="9"/>
  <c r="O61" i="9"/>
  <c r="O46" i="9"/>
  <c r="O31" i="9"/>
  <c r="AV42" i="9"/>
  <c r="AV27" i="9"/>
  <c r="AV11" i="9"/>
  <c r="AM43" i="9"/>
  <c r="AM27" i="9"/>
  <c r="AM11" i="9"/>
  <c r="AD57" i="9"/>
  <c r="AD42" i="9"/>
  <c r="AD11" i="9"/>
  <c r="AD26" i="9"/>
  <c r="U76" i="9"/>
  <c r="U60" i="9"/>
  <c r="U44" i="9"/>
  <c r="U28" i="9"/>
  <c r="U12" i="9"/>
  <c r="K88" i="9"/>
  <c r="K73" i="9"/>
  <c r="K58" i="9"/>
  <c r="K43" i="9"/>
  <c r="K27" i="9"/>
  <c r="K12" i="9"/>
  <c r="E46" i="6"/>
  <c r="E47" i="6"/>
  <c r="E43" i="6"/>
  <c r="E44" i="6"/>
  <c r="E41" i="6"/>
  <c r="E42" i="6"/>
  <c r="E45" i="6"/>
  <c r="E32" i="6"/>
  <c r="E33" i="6"/>
  <c r="E34" i="6"/>
  <c r="E35" i="6"/>
  <c r="E36" i="6"/>
  <c r="E37" i="6"/>
  <c r="E31" i="6"/>
  <c r="C2" i="6"/>
  <c r="C1" i="4"/>
  <c r="AH36" i="1"/>
  <c r="AI36" i="1"/>
  <c r="AJ36" i="1"/>
  <c r="AH37" i="1"/>
  <c r="AI37" i="1"/>
  <c r="AJ37" i="1"/>
  <c r="AJ38" i="1" s="1"/>
  <c r="AB36" i="1"/>
  <c r="AC36" i="1"/>
  <c r="AB37" i="1"/>
  <c r="AC37" i="1"/>
  <c r="AC38" i="1" s="1"/>
  <c r="AA37" i="1"/>
  <c r="AA36" i="1"/>
  <c r="Y37" i="1"/>
  <c r="Y36" i="1"/>
  <c r="X37" i="1"/>
  <c r="X36" i="1"/>
  <c r="W37" i="1"/>
  <c r="W36" i="1"/>
  <c r="C2" i="7"/>
  <c r="D2" i="7"/>
  <c r="C3" i="7"/>
  <c r="D3" i="7"/>
  <c r="C4" i="7"/>
  <c r="D4" i="7"/>
  <c r="C5" i="7"/>
  <c r="D5" i="7"/>
  <c r="C6" i="7"/>
  <c r="D6" i="7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C14" i="7"/>
  <c r="D14" i="7"/>
  <c r="C15" i="7"/>
  <c r="D15" i="7"/>
  <c r="C16" i="7"/>
  <c r="D16" i="7"/>
  <c r="C17" i="7"/>
  <c r="D17" i="7"/>
  <c r="C18" i="7"/>
  <c r="D18" i="7"/>
  <c r="C19" i="7"/>
  <c r="D19" i="7"/>
  <c r="C20" i="7"/>
  <c r="D20" i="7"/>
  <c r="C21" i="7"/>
  <c r="D21" i="7"/>
  <c r="C22" i="7"/>
  <c r="D22" i="7"/>
  <c r="C1" i="7"/>
  <c r="D1" i="7"/>
  <c r="D1" i="6"/>
  <c r="E1" i="6"/>
  <c r="C1" i="6"/>
  <c r="E1" i="5"/>
  <c r="C1" i="5"/>
  <c r="D1" i="5"/>
  <c r="D1" i="4"/>
  <c r="C2" i="4"/>
  <c r="D2" i="4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4" i="4"/>
  <c r="D14" i="4"/>
  <c r="C15" i="4"/>
  <c r="D15" i="4"/>
  <c r="C16" i="4"/>
  <c r="D16" i="4"/>
  <c r="C11" i="4"/>
  <c r="D11" i="4"/>
  <c r="C12" i="4"/>
  <c r="D12" i="4"/>
  <c r="C13" i="4"/>
  <c r="D13" i="4"/>
  <c r="C17" i="4"/>
  <c r="D17" i="4"/>
  <c r="C18" i="4"/>
  <c r="D18" i="4"/>
  <c r="C19" i="4"/>
  <c r="D19" i="4"/>
  <c r="C20" i="4"/>
  <c r="D20" i="4"/>
  <c r="C21" i="4"/>
  <c r="D21" i="4"/>
  <c r="C22" i="4"/>
  <c r="D22" i="4"/>
  <c r="C2" i="3"/>
  <c r="C3" i="3"/>
  <c r="C4" i="3"/>
  <c r="C5" i="3"/>
  <c r="C6" i="3"/>
  <c r="C7" i="3"/>
  <c r="C8" i="3"/>
  <c r="C9" i="3"/>
  <c r="C10" i="3"/>
  <c r="C14" i="3"/>
  <c r="C15" i="3"/>
  <c r="C16" i="3"/>
  <c r="C11" i="3"/>
  <c r="C12" i="3"/>
  <c r="C13" i="3"/>
  <c r="C17" i="3"/>
  <c r="C18" i="3"/>
  <c r="C19" i="3"/>
  <c r="C20" i="3"/>
  <c r="C21" i="3"/>
  <c r="C22" i="3"/>
  <c r="C1" i="3"/>
  <c r="C1" i="2"/>
  <c r="AF19" i="1"/>
  <c r="D7" i="5" s="1"/>
  <c r="AE19" i="1"/>
  <c r="C7" i="5" s="1"/>
  <c r="AF18" i="1"/>
  <c r="D6" i="5" s="1"/>
  <c r="AE18" i="1"/>
  <c r="C6" i="5" s="1"/>
  <c r="AF17" i="1"/>
  <c r="AE17" i="1"/>
  <c r="C5" i="5" s="1"/>
  <c r="AF22" i="1"/>
  <c r="D10" i="5" s="1"/>
  <c r="AE22" i="1"/>
  <c r="C10" i="5" s="1"/>
  <c r="AF21" i="1"/>
  <c r="D9" i="5" s="1"/>
  <c r="AE21" i="1"/>
  <c r="AF20" i="1"/>
  <c r="D8" i="5" s="1"/>
  <c r="AE20" i="1"/>
  <c r="C8" i="5" s="1"/>
  <c r="AF25" i="1"/>
  <c r="AE25" i="1"/>
  <c r="C22" i="5" s="1"/>
  <c r="AF24" i="1"/>
  <c r="D21" i="5" s="1"/>
  <c r="AE24" i="1"/>
  <c r="AF23" i="1"/>
  <c r="D20" i="5" s="1"/>
  <c r="AE23" i="1"/>
  <c r="C20" i="5" s="1"/>
  <c r="AF28" i="1"/>
  <c r="D19" i="5" s="1"/>
  <c r="AE28" i="1"/>
  <c r="AF27" i="1"/>
  <c r="AE27" i="1"/>
  <c r="C18" i="5" s="1"/>
  <c r="AF26" i="1"/>
  <c r="D17" i="5" s="1"/>
  <c r="AE26" i="1"/>
  <c r="C17" i="5" s="1"/>
  <c r="AF31" i="1"/>
  <c r="D13" i="5" s="1"/>
  <c r="AE31" i="1"/>
  <c r="C13" i="5" s="1"/>
  <c r="AF30" i="1"/>
  <c r="D12" i="5" s="1"/>
  <c r="AE30" i="1"/>
  <c r="AF29" i="1"/>
  <c r="AE29" i="1"/>
  <c r="C11" i="5" s="1"/>
  <c r="AF32" i="1"/>
  <c r="AE32" i="1"/>
  <c r="C14" i="5" s="1"/>
  <c r="AF33" i="1"/>
  <c r="AE33" i="1"/>
  <c r="C15" i="5" s="1"/>
  <c r="AF34" i="1"/>
  <c r="D16" i="5" s="1"/>
  <c r="AE34" i="1"/>
  <c r="C16" i="5" s="1"/>
  <c r="AF16" i="1"/>
  <c r="D4" i="5" s="1"/>
  <c r="AE16" i="1"/>
  <c r="C4" i="5" s="1"/>
  <c r="AF15" i="1"/>
  <c r="D3" i="5" s="1"/>
  <c r="AE15" i="1"/>
  <c r="C3" i="5" s="1"/>
  <c r="AF14" i="1"/>
  <c r="AE14" i="1"/>
  <c r="C2" i="5" s="1"/>
  <c r="AK20" i="1"/>
  <c r="AL20" i="1"/>
  <c r="AK21" i="1"/>
  <c r="AL21" i="1"/>
  <c r="AK22" i="1"/>
  <c r="AL22" i="1"/>
  <c r="AK23" i="1"/>
  <c r="AL23" i="1"/>
  <c r="AK24" i="1"/>
  <c r="AL24" i="1"/>
  <c r="AK25" i="1"/>
  <c r="AL25" i="1"/>
  <c r="AK26" i="1"/>
  <c r="AL26" i="1"/>
  <c r="AK27" i="1"/>
  <c r="AL27" i="1"/>
  <c r="AK28" i="1"/>
  <c r="AL28" i="1"/>
  <c r="AK29" i="1"/>
  <c r="AL29" i="1"/>
  <c r="AK30" i="1"/>
  <c r="AL30" i="1"/>
  <c r="AK31" i="1"/>
  <c r="AL31" i="1"/>
  <c r="AK32" i="1"/>
  <c r="AL32" i="1"/>
  <c r="AK33" i="1"/>
  <c r="AL33" i="1"/>
  <c r="AK34" i="1"/>
  <c r="AL34" i="1"/>
  <c r="H34" i="1"/>
  <c r="H33" i="1"/>
  <c r="H32" i="1"/>
  <c r="H31" i="1"/>
  <c r="H30" i="1"/>
  <c r="H29" i="1"/>
  <c r="H28" i="1"/>
  <c r="H27" i="1"/>
  <c r="H26" i="1"/>
  <c r="I29" i="1"/>
  <c r="I30" i="1"/>
  <c r="I31" i="1"/>
  <c r="I32" i="1"/>
  <c r="I33" i="1"/>
  <c r="I34" i="1"/>
  <c r="I28" i="1"/>
  <c r="H25" i="1"/>
  <c r="H24" i="1"/>
  <c r="AL11" i="1"/>
  <c r="AE13" i="1"/>
  <c r="AF13" i="1"/>
  <c r="AE12" i="1"/>
  <c r="AF12" i="1"/>
  <c r="AF11" i="1"/>
  <c r="AE11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S29" i="1" s="1"/>
  <c r="P29" i="1"/>
  <c r="O30" i="1"/>
  <c r="P30" i="1"/>
  <c r="O31" i="1"/>
  <c r="P31" i="1"/>
  <c r="O32" i="1"/>
  <c r="P32" i="1"/>
  <c r="O33" i="1"/>
  <c r="P33" i="1"/>
  <c r="O34" i="1"/>
  <c r="P34" i="1"/>
  <c r="I27" i="1"/>
  <c r="I26" i="1"/>
  <c r="I25" i="1"/>
  <c r="I24" i="1"/>
  <c r="H23" i="1"/>
  <c r="I23" i="1"/>
  <c r="H22" i="1"/>
  <c r="I22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3" i="1"/>
  <c r="AL12" i="1"/>
  <c r="AL13" i="1"/>
  <c r="AL14" i="1"/>
  <c r="AL15" i="1"/>
  <c r="AL16" i="1"/>
  <c r="AL17" i="1"/>
  <c r="AL18" i="1"/>
  <c r="AL19" i="1"/>
  <c r="AL3" i="1"/>
  <c r="AL4" i="1"/>
  <c r="AL5" i="1"/>
  <c r="AL6" i="1"/>
  <c r="AL7" i="1"/>
  <c r="AL8" i="1"/>
  <c r="AL9" i="1"/>
  <c r="AL10" i="1"/>
  <c r="AL2" i="1"/>
  <c r="AK2" i="1"/>
  <c r="O10" i="1"/>
  <c r="P10" i="1"/>
  <c r="O9" i="1"/>
  <c r="P9" i="1"/>
  <c r="O8" i="1"/>
  <c r="P8" i="1"/>
  <c r="H10" i="1"/>
  <c r="I10" i="1"/>
  <c r="H9" i="1"/>
  <c r="I9" i="1"/>
  <c r="H8" i="1"/>
  <c r="I8" i="1"/>
  <c r="H2" i="1"/>
  <c r="P7" i="1"/>
  <c r="O7" i="1"/>
  <c r="P6" i="1"/>
  <c r="O6" i="1"/>
  <c r="P5" i="1"/>
  <c r="O5" i="1"/>
  <c r="P4" i="1"/>
  <c r="O4" i="1"/>
  <c r="P3" i="1"/>
  <c r="O3" i="1"/>
  <c r="P2" i="1"/>
  <c r="O2" i="1"/>
  <c r="H3" i="1"/>
  <c r="I3" i="1"/>
  <c r="U3" i="1" s="1"/>
  <c r="H4" i="1"/>
  <c r="I4" i="1"/>
  <c r="H5" i="1"/>
  <c r="I5" i="1"/>
  <c r="H6" i="1"/>
  <c r="I6" i="1"/>
  <c r="H7" i="1"/>
  <c r="I7" i="1"/>
  <c r="I2" i="1"/>
  <c r="M7" i="4" l="1"/>
  <c r="N7" i="4"/>
  <c r="O7" i="4" s="1"/>
  <c r="M16" i="4"/>
  <c r="P16" i="4" s="1"/>
  <c r="N16" i="4"/>
  <c r="M3" i="4"/>
  <c r="N3" i="4"/>
  <c r="Q5" i="4"/>
  <c r="P5" i="4"/>
  <c r="D18" i="3"/>
  <c r="E18" i="3"/>
  <c r="F18" i="3" s="1"/>
  <c r="D9" i="3"/>
  <c r="E9" i="3"/>
  <c r="E12" i="3"/>
  <c r="D12" i="3"/>
  <c r="E6" i="3"/>
  <c r="D6" i="3"/>
  <c r="E21" i="3"/>
  <c r="D21" i="3"/>
  <c r="D15" i="3"/>
  <c r="E15" i="3"/>
  <c r="F15" i="3" s="1"/>
  <c r="E3" i="3"/>
  <c r="D3" i="3"/>
  <c r="C24" i="7"/>
  <c r="G16" i="4"/>
  <c r="F16" i="4"/>
  <c r="I16" i="4" s="1"/>
  <c r="G3" i="4"/>
  <c r="F3" i="4"/>
  <c r="I5" i="4"/>
  <c r="J5" i="4"/>
  <c r="K5" i="4" s="1"/>
  <c r="F7" i="4"/>
  <c r="G7" i="4"/>
  <c r="AG32" i="1"/>
  <c r="E14" i="5" s="1"/>
  <c r="X38" i="1"/>
  <c r="AA38" i="1"/>
  <c r="AG19" i="1"/>
  <c r="E7" i="5" s="1"/>
  <c r="AG21" i="1"/>
  <c r="E9" i="5" s="1"/>
  <c r="AM20" i="1"/>
  <c r="AG29" i="1"/>
  <c r="E11" i="5" s="1"/>
  <c r="AG27" i="1"/>
  <c r="E18" i="5" s="1"/>
  <c r="AG30" i="1"/>
  <c r="E12" i="5" s="1"/>
  <c r="AG28" i="1"/>
  <c r="E19" i="5" s="1"/>
  <c r="C9" i="5"/>
  <c r="AG25" i="1"/>
  <c r="E22" i="5" s="1"/>
  <c r="AG17" i="1"/>
  <c r="E5" i="5" s="1"/>
  <c r="D24" i="7"/>
  <c r="D14" i="5"/>
  <c r="AK36" i="1"/>
  <c r="U27" i="1"/>
  <c r="AO27" i="1" s="1"/>
  <c r="D12" i="6" s="1"/>
  <c r="S31" i="1"/>
  <c r="AF36" i="1"/>
  <c r="AB38" i="1"/>
  <c r="J28" i="1"/>
  <c r="AM30" i="1"/>
  <c r="C12" i="5"/>
  <c r="D25" i="7"/>
  <c r="AG33" i="1"/>
  <c r="E15" i="5" s="1"/>
  <c r="D22" i="5"/>
  <c r="AM33" i="1"/>
  <c r="AM29" i="1"/>
  <c r="D11" i="5"/>
  <c r="AK37" i="1"/>
  <c r="C25" i="7"/>
  <c r="C26" i="7" s="1"/>
  <c r="C19" i="5"/>
  <c r="AG31" i="1"/>
  <c r="E13" i="5" s="1"/>
  <c r="D5" i="5"/>
  <c r="AE36" i="1"/>
  <c r="AI38" i="1"/>
  <c r="AG24" i="1"/>
  <c r="E21" i="5" s="1"/>
  <c r="C21" i="5"/>
  <c r="D18" i="5"/>
  <c r="D2" i="5"/>
  <c r="AE37" i="1"/>
  <c r="AH38" i="1"/>
  <c r="D15" i="5"/>
  <c r="AF37" i="1"/>
  <c r="AF38" i="1" s="1"/>
  <c r="AG34" i="1"/>
  <c r="E16" i="5" s="1"/>
  <c r="AG18" i="1"/>
  <c r="E6" i="5" s="1"/>
  <c r="AG22" i="1"/>
  <c r="E10" i="5" s="1"/>
  <c r="AG20" i="1"/>
  <c r="E8" i="5" s="1"/>
  <c r="AG23" i="1"/>
  <c r="E20" i="5" s="1"/>
  <c r="AG26" i="1"/>
  <c r="E17" i="5" s="1"/>
  <c r="S34" i="1"/>
  <c r="J33" i="1"/>
  <c r="U26" i="1"/>
  <c r="AO26" i="1" s="1"/>
  <c r="D11" i="6" s="1"/>
  <c r="T30" i="1"/>
  <c r="Z30" i="1" s="1"/>
  <c r="C18" i="2" s="1"/>
  <c r="AM22" i="1"/>
  <c r="AG15" i="1"/>
  <c r="E3" i="5" s="1"/>
  <c r="AM27" i="1"/>
  <c r="AG14" i="1"/>
  <c r="J30" i="1"/>
  <c r="AM25" i="1"/>
  <c r="AG16" i="1"/>
  <c r="E4" i="5" s="1"/>
  <c r="AM24" i="1"/>
  <c r="U28" i="1"/>
  <c r="AO28" i="1" s="1"/>
  <c r="D13" i="6" s="1"/>
  <c r="J29" i="1"/>
  <c r="Q34" i="1"/>
  <c r="AM21" i="1"/>
  <c r="AM23" i="1"/>
  <c r="AM31" i="1"/>
  <c r="J32" i="1"/>
  <c r="J31" i="1"/>
  <c r="U30" i="1"/>
  <c r="AO30" i="1" s="1"/>
  <c r="D18" i="6" s="1"/>
  <c r="AM26" i="1"/>
  <c r="U29" i="1"/>
  <c r="AO29" i="1" s="1"/>
  <c r="D17" i="6" s="1"/>
  <c r="AM34" i="1"/>
  <c r="AM32" i="1"/>
  <c r="AM28" i="1"/>
  <c r="U34" i="1"/>
  <c r="AO34" i="1" s="1"/>
  <c r="D22" i="6" s="1"/>
  <c r="J34" i="1"/>
  <c r="S33" i="1"/>
  <c r="U33" i="1"/>
  <c r="AO33" i="1" s="1"/>
  <c r="D21" i="6" s="1"/>
  <c r="U32" i="1"/>
  <c r="AO32" i="1" s="1"/>
  <c r="D20" i="6" s="1"/>
  <c r="U31" i="1"/>
  <c r="AO31" i="1" s="1"/>
  <c r="D19" i="6" s="1"/>
  <c r="S28" i="1"/>
  <c r="U12" i="1"/>
  <c r="AO12" i="1" s="1"/>
  <c r="J14" i="1"/>
  <c r="J18" i="1"/>
  <c r="U22" i="1"/>
  <c r="AO22" i="1" s="1"/>
  <c r="D10" i="6" s="1"/>
  <c r="Q31" i="1"/>
  <c r="Q17" i="1"/>
  <c r="U17" i="1"/>
  <c r="AO17" i="1" s="1"/>
  <c r="D5" i="6" s="1"/>
  <c r="U21" i="1"/>
  <c r="AO21" i="1" s="1"/>
  <c r="D9" i="6" s="1"/>
  <c r="Q27" i="1"/>
  <c r="AO3" i="1"/>
  <c r="AG11" i="1"/>
  <c r="Q14" i="1"/>
  <c r="J16" i="1"/>
  <c r="Q13" i="1"/>
  <c r="T23" i="1"/>
  <c r="Z23" i="1" s="1"/>
  <c r="C14" i="2" s="1"/>
  <c r="Q28" i="1"/>
  <c r="Q20" i="1"/>
  <c r="AG13" i="1"/>
  <c r="Q23" i="1"/>
  <c r="J19" i="1"/>
  <c r="J27" i="1"/>
  <c r="T19" i="1"/>
  <c r="T15" i="1"/>
  <c r="AG12" i="1"/>
  <c r="Q26" i="1"/>
  <c r="T22" i="1"/>
  <c r="Z22" i="1" s="1"/>
  <c r="C10" i="2" s="1"/>
  <c r="T18" i="1"/>
  <c r="J25" i="1"/>
  <c r="Q21" i="1"/>
  <c r="S21" i="1"/>
  <c r="S25" i="1"/>
  <c r="J11" i="1"/>
  <c r="J15" i="1"/>
  <c r="J22" i="1"/>
  <c r="S14" i="1"/>
  <c r="U23" i="1"/>
  <c r="AO23" i="1" s="1"/>
  <c r="D14" i="6" s="1"/>
  <c r="U25" i="1"/>
  <c r="AO25" i="1" s="1"/>
  <c r="D16" i="6" s="1"/>
  <c r="U20" i="1"/>
  <c r="AO20" i="1" s="1"/>
  <c r="D8" i="6" s="1"/>
  <c r="U24" i="1"/>
  <c r="AO24" i="1" s="1"/>
  <c r="D15" i="6" s="1"/>
  <c r="Q30" i="1"/>
  <c r="U19" i="1"/>
  <c r="AO19" i="1" s="1"/>
  <c r="D7" i="6" s="1"/>
  <c r="U13" i="1"/>
  <c r="AO13" i="1" s="1"/>
  <c r="J17" i="1"/>
  <c r="Q33" i="1"/>
  <c r="Q22" i="1"/>
  <c r="S19" i="1"/>
  <c r="Q15" i="1"/>
  <c r="S12" i="1"/>
  <c r="U18" i="1"/>
  <c r="AO18" i="1" s="1"/>
  <c r="D6" i="6" s="1"/>
  <c r="G6" i="6" s="1"/>
  <c r="U16" i="1"/>
  <c r="AO16" i="1" s="1"/>
  <c r="D4" i="6" s="1"/>
  <c r="J21" i="1"/>
  <c r="S20" i="1"/>
  <c r="S13" i="1"/>
  <c r="T31" i="1"/>
  <c r="U15" i="1"/>
  <c r="AO15" i="1" s="1"/>
  <c r="D3" i="6" s="1"/>
  <c r="J26" i="1"/>
  <c r="Q29" i="1"/>
  <c r="Q19" i="1"/>
  <c r="U14" i="1"/>
  <c r="AO14" i="1" s="1"/>
  <c r="D2" i="6" s="1"/>
  <c r="J13" i="1"/>
  <c r="S23" i="1"/>
  <c r="S17" i="1"/>
  <c r="T14" i="1"/>
  <c r="AN14" i="1" s="1"/>
  <c r="S27" i="1"/>
  <c r="T34" i="1"/>
  <c r="Z34" i="1" s="1"/>
  <c r="C22" i="2" s="1"/>
  <c r="AM15" i="1"/>
  <c r="S26" i="1"/>
  <c r="T27" i="1"/>
  <c r="AM14" i="1"/>
  <c r="Q25" i="1"/>
  <c r="S22" i="1"/>
  <c r="Q18" i="1"/>
  <c r="S15" i="1"/>
  <c r="T26" i="1"/>
  <c r="Z26" i="1" s="1"/>
  <c r="C11" i="2" s="1"/>
  <c r="U11" i="1"/>
  <c r="AO11" i="1" s="1"/>
  <c r="AM13" i="1"/>
  <c r="AM6" i="1"/>
  <c r="Q11" i="1"/>
  <c r="Q12" i="1"/>
  <c r="J24" i="1"/>
  <c r="S5" i="1"/>
  <c r="S9" i="1"/>
  <c r="AM16" i="1"/>
  <c r="J20" i="1"/>
  <c r="Q32" i="1"/>
  <c r="S11" i="1"/>
  <c r="S30" i="1"/>
  <c r="S18" i="1"/>
  <c r="T33" i="1"/>
  <c r="T29" i="1"/>
  <c r="T25" i="1"/>
  <c r="T21" i="1"/>
  <c r="T17" i="1"/>
  <c r="T13" i="1"/>
  <c r="AN13" i="1" s="1"/>
  <c r="Q24" i="1"/>
  <c r="S2" i="1"/>
  <c r="S6" i="1"/>
  <c r="S10" i="1"/>
  <c r="AM5" i="1"/>
  <c r="J23" i="1"/>
  <c r="Q16" i="1"/>
  <c r="T32" i="1"/>
  <c r="T28" i="1"/>
  <c r="T24" i="1"/>
  <c r="Z24" i="1" s="1"/>
  <c r="C15" i="2" s="1"/>
  <c r="T20" i="1"/>
  <c r="T16" i="1"/>
  <c r="T12" i="1"/>
  <c r="AN12" i="1" s="1"/>
  <c r="S7" i="1"/>
  <c r="AM18" i="1"/>
  <c r="S32" i="1"/>
  <c r="S24" i="1"/>
  <c r="S16" i="1"/>
  <c r="T11" i="1"/>
  <c r="AN11" i="1" s="1"/>
  <c r="S3" i="1"/>
  <c r="Q8" i="1"/>
  <c r="S4" i="1"/>
  <c r="S8" i="1"/>
  <c r="T2" i="1"/>
  <c r="AN2" i="1" s="1"/>
  <c r="Q10" i="1"/>
  <c r="J8" i="1"/>
  <c r="Q9" i="1"/>
  <c r="J12" i="1"/>
  <c r="T10" i="1"/>
  <c r="AN10" i="1" s="1"/>
  <c r="AM10" i="1"/>
  <c r="AM12" i="1"/>
  <c r="J4" i="1"/>
  <c r="T8" i="1"/>
  <c r="AN8" i="1" s="1"/>
  <c r="AM2" i="1"/>
  <c r="J7" i="1"/>
  <c r="AM7" i="1"/>
  <c r="U7" i="1"/>
  <c r="AM4" i="1"/>
  <c r="AM9" i="1"/>
  <c r="AM8" i="1"/>
  <c r="AM11" i="1"/>
  <c r="AM19" i="1"/>
  <c r="AM17" i="1"/>
  <c r="AM3" i="1"/>
  <c r="T9" i="1"/>
  <c r="AN9" i="1" s="1"/>
  <c r="J9" i="1"/>
  <c r="J10" i="1"/>
  <c r="U10" i="1"/>
  <c r="AO10" i="1" s="1"/>
  <c r="U9" i="1"/>
  <c r="AO9" i="1" s="1"/>
  <c r="Q3" i="1"/>
  <c r="Q2" i="1"/>
  <c r="Q7" i="1"/>
  <c r="Q6" i="1"/>
  <c r="U8" i="1"/>
  <c r="AO8" i="1" s="1"/>
  <c r="T5" i="1"/>
  <c r="AN5" i="1" s="1"/>
  <c r="J2" i="1"/>
  <c r="Q5" i="1"/>
  <c r="J6" i="1"/>
  <c r="T6" i="1"/>
  <c r="AN6" i="1" s="1"/>
  <c r="J5" i="1"/>
  <c r="T3" i="1"/>
  <c r="AN3" i="1" s="1"/>
  <c r="T7" i="1"/>
  <c r="AN7" i="1" s="1"/>
  <c r="T4" i="1"/>
  <c r="AN4" i="1" s="1"/>
  <c r="J3" i="1"/>
  <c r="Q4" i="1"/>
  <c r="U2" i="1"/>
  <c r="AO2" i="1" s="1"/>
  <c r="U6" i="1"/>
  <c r="AO7" i="1" s="1"/>
  <c r="U5" i="1"/>
  <c r="AO5" i="1" s="1"/>
  <c r="U4" i="1"/>
  <c r="AO4" i="1" s="1"/>
  <c r="L24" i="4" l="1"/>
  <c r="H7" i="4"/>
  <c r="O3" i="4"/>
  <c r="Q16" i="4"/>
  <c r="Q24" i="4" s="1"/>
  <c r="O16" i="4"/>
  <c r="R16" i="4" s="1"/>
  <c r="R5" i="4"/>
  <c r="F9" i="3"/>
  <c r="F6" i="3"/>
  <c r="F3" i="3"/>
  <c r="F12" i="3"/>
  <c r="F21" i="3"/>
  <c r="H3" i="4"/>
  <c r="J16" i="4"/>
  <c r="H16" i="4"/>
  <c r="G12" i="6"/>
  <c r="D26" i="7"/>
  <c r="C24" i="5"/>
  <c r="AK38" i="1"/>
  <c r="G9" i="6"/>
  <c r="G18" i="6"/>
  <c r="G21" i="6"/>
  <c r="G15" i="6"/>
  <c r="AE38" i="1"/>
  <c r="D24" i="5"/>
  <c r="E2" i="5"/>
  <c r="E24" i="5" s="1"/>
  <c r="AG36" i="1"/>
  <c r="AG37" i="1"/>
  <c r="AG38" i="1" s="1"/>
  <c r="G3" i="6"/>
  <c r="AN30" i="1"/>
  <c r="AN26" i="1"/>
  <c r="C11" i="6" s="1"/>
  <c r="AN24" i="1"/>
  <c r="AN28" i="1"/>
  <c r="Z28" i="1"/>
  <c r="C13" i="2" s="1"/>
  <c r="AN21" i="1"/>
  <c r="Z21" i="1"/>
  <c r="C9" i="2" s="1"/>
  <c r="AN27" i="1"/>
  <c r="Z27" i="1"/>
  <c r="C12" i="2" s="1"/>
  <c r="AN25" i="1"/>
  <c r="Z25" i="1"/>
  <c r="C16" i="2" s="1"/>
  <c r="AN18" i="1"/>
  <c r="Z18" i="1"/>
  <c r="C6" i="2" s="1"/>
  <c r="AN16" i="1"/>
  <c r="Z16" i="1"/>
  <c r="C4" i="2" s="1"/>
  <c r="AN29" i="1"/>
  <c r="Z29" i="1"/>
  <c r="C17" i="2" s="1"/>
  <c r="AN17" i="1"/>
  <c r="Z17" i="1"/>
  <c r="C5" i="2" s="1"/>
  <c r="AN33" i="1"/>
  <c r="Z33" i="1"/>
  <c r="C21" i="2" s="1"/>
  <c r="AN23" i="1"/>
  <c r="AN34" i="1"/>
  <c r="AN20" i="1"/>
  <c r="Z20" i="1"/>
  <c r="C8" i="2" s="1"/>
  <c r="AN15" i="1"/>
  <c r="Z15" i="1"/>
  <c r="C3" i="2" s="1"/>
  <c r="AN32" i="1"/>
  <c r="Z32" i="1"/>
  <c r="C20" i="2" s="1"/>
  <c r="AN31" i="1"/>
  <c r="Z31" i="1"/>
  <c r="C19" i="2" s="1"/>
  <c r="AN19" i="1"/>
  <c r="Z19" i="1"/>
  <c r="C7" i="2" s="1"/>
  <c r="AN22" i="1"/>
  <c r="AQ12" i="1"/>
  <c r="AQ8" i="1"/>
  <c r="Z14" i="1"/>
  <c r="AP12" i="1"/>
  <c r="AP11" i="1"/>
  <c r="AP13" i="1"/>
  <c r="AO6" i="1"/>
  <c r="AQ3" i="1"/>
  <c r="AQ4" i="1"/>
  <c r="AQ5" i="1"/>
  <c r="AQ9" i="1"/>
  <c r="AQ7" i="1"/>
  <c r="AQ6" i="1"/>
  <c r="AQ10" i="1"/>
  <c r="K16" i="4" l="1"/>
  <c r="AN36" i="1"/>
  <c r="AP26" i="1"/>
  <c r="E11" i="6" s="1"/>
  <c r="AP30" i="1"/>
  <c r="E18" i="6" s="1"/>
  <c r="C18" i="6"/>
  <c r="AP20" i="1"/>
  <c r="E8" i="6" s="1"/>
  <c r="C8" i="6"/>
  <c r="AP29" i="1"/>
  <c r="E17" i="6" s="1"/>
  <c r="C17" i="6"/>
  <c r="AP27" i="1"/>
  <c r="E12" i="6" s="1"/>
  <c r="C12" i="6"/>
  <c r="AP19" i="1"/>
  <c r="E7" i="6" s="1"/>
  <c r="C7" i="6"/>
  <c r="AP34" i="1"/>
  <c r="E22" i="6" s="1"/>
  <c r="C22" i="6"/>
  <c r="AP31" i="1"/>
  <c r="E19" i="6" s="1"/>
  <c r="C19" i="6"/>
  <c r="AQ24" i="1"/>
  <c r="C14" i="6"/>
  <c r="AP16" i="1"/>
  <c r="E4" i="6" s="1"/>
  <c r="C4" i="6"/>
  <c r="AP21" i="1"/>
  <c r="E9" i="6" s="1"/>
  <c r="C9" i="6"/>
  <c r="AP18" i="1"/>
  <c r="E6" i="6" s="1"/>
  <c r="C6" i="6"/>
  <c r="AP28" i="1"/>
  <c r="E13" i="6" s="1"/>
  <c r="C13" i="6"/>
  <c r="AN37" i="1"/>
  <c r="AN38" i="1" s="1"/>
  <c r="C2" i="2"/>
  <c r="Z37" i="1"/>
  <c r="Z36" i="1"/>
  <c r="AP32" i="1"/>
  <c r="E20" i="6" s="1"/>
  <c r="C20" i="6"/>
  <c r="AP33" i="1"/>
  <c r="E21" i="6" s="1"/>
  <c r="C21" i="6"/>
  <c r="AP24" i="1"/>
  <c r="E15" i="6" s="1"/>
  <c r="C15" i="6"/>
  <c r="AP22" i="1"/>
  <c r="E10" i="6" s="1"/>
  <c r="C10" i="6"/>
  <c r="AP15" i="1"/>
  <c r="E3" i="6" s="1"/>
  <c r="C3" i="6"/>
  <c r="AP17" i="1"/>
  <c r="E5" i="6" s="1"/>
  <c r="C5" i="6"/>
  <c r="AP25" i="1"/>
  <c r="E16" i="6" s="1"/>
  <c r="C16" i="6"/>
  <c r="AP23" i="1"/>
  <c r="E14" i="6" s="1"/>
  <c r="AQ30" i="1"/>
  <c r="AQ21" i="1"/>
  <c r="AQ33" i="1"/>
  <c r="AQ27" i="1"/>
  <c r="AQ18" i="1"/>
  <c r="AQ15" i="1"/>
  <c r="AP14" i="1"/>
  <c r="E2" i="6" s="1"/>
  <c r="F3" i="6" l="1"/>
  <c r="H3" i="6" s="1"/>
  <c r="F6" i="6"/>
  <c r="H6" i="6" s="1"/>
  <c r="F12" i="6"/>
  <c r="H12" i="6" s="1"/>
  <c r="Z38" i="1"/>
  <c r="F18" i="6"/>
  <c r="H18" i="6" s="1"/>
  <c r="F9" i="6"/>
  <c r="H9" i="6" s="1"/>
  <c r="F21" i="6"/>
  <c r="H21" i="6" s="1"/>
  <c r="F15" i="6"/>
  <c r="H15" i="6" s="1"/>
</calcChain>
</file>

<file path=xl/sharedStrings.xml><?xml version="1.0" encoding="utf-8"?>
<sst xmlns="http://schemas.openxmlformats.org/spreadsheetml/2006/main" count="1059" uniqueCount="184">
  <si>
    <t>Sample #</t>
  </si>
  <si>
    <t>Empty Mass 1</t>
  </si>
  <si>
    <t>Empty Mass 2</t>
  </si>
  <si>
    <t>Empty Mass 3</t>
  </si>
  <si>
    <t>Average</t>
  </si>
  <si>
    <t>Std. Dev.</t>
  </si>
  <si>
    <t>Full mass 1</t>
  </si>
  <si>
    <t>Full mass 2</t>
  </si>
  <si>
    <t>Full mass 3</t>
  </si>
  <si>
    <t>%RSD</t>
  </si>
  <si>
    <t>Soot Mass (mg)</t>
  </si>
  <si>
    <t>g factor</t>
  </si>
  <si>
    <t>Lorentzian (mT)</t>
  </si>
  <si>
    <t>Gaussian (mT)</t>
  </si>
  <si>
    <t>Spins 1</t>
  </si>
  <si>
    <t>Spins 2</t>
  </si>
  <si>
    <t>Spins 3</t>
  </si>
  <si>
    <t>Description</t>
  </si>
  <si>
    <t>Aged t0</t>
  </si>
  <si>
    <t>Aged t1</t>
  </si>
  <si>
    <t>Aged t2</t>
  </si>
  <si>
    <t>Aged t3</t>
  </si>
  <si>
    <t>Aged t4</t>
  </si>
  <si>
    <t>Aged t5</t>
  </si>
  <si>
    <t>-</t>
  </si>
  <si>
    <t>Fresh1</t>
  </si>
  <si>
    <t>Fresh2</t>
  </si>
  <si>
    <t>Fresh3</t>
  </si>
  <si>
    <t>runsoot_1</t>
  </si>
  <si>
    <t>runsoot_2</t>
  </si>
  <si>
    <t>runsoot_4</t>
  </si>
  <si>
    <t>runsoot_5</t>
  </si>
  <si>
    <t>runsoot_6</t>
  </si>
  <si>
    <t>runsoot_7</t>
  </si>
  <si>
    <t>runsoot_8</t>
  </si>
  <si>
    <t>runsoot_9</t>
  </si>
  <si>
    <t>runsoot_3_1</t>
  </si>
  <si>
    <t>runsoot_10</t>
  </si>
  <si>
    <t>runsoot_11</t>
  </si>
  <si>
    <t>runsoot_12</t>
  </si>
  <si>
    <t>Soot Mass (g)</t>
  </si>
  <si>
    <t>Soot height (mm)</t>
  </si>
  <si>
    <t>Fresh_011822_1</t>
  </si>
  <si>
    <t>Fresh_011822_2</t>
  </si>
  <si>
    <t>Fresh_011822_3</t>
  </si>
  <si>
    <t>x-min (G)</t>
  </si>
  <si>
    <t>x-max (G)</t>
  </si>
  <si>
    <t>std dev (mg)</t>
  </si>
  <si>
    <t>Soot density (mg/mm)</t>
  </si>
  <si>
    <t>soot0013</t>
  </si>
  <si>
    <t>soot0014</t>
  </si>
  <si>
    <t>soot0015</t>
  </si>
  <si>
    <t>soot0016</t>
  </si>
  <si>
    <t>soot0017</t>
  </si>
  <si>
    <t>soot0018</t>
  </si>
  <si>
    <t>soot0019</t>
  </si>
  <si>
    <t>soot0020</t>
  </si>
  <si>
    <t>soot0021</t>
  </si>
  <si>
    <t>soot0022</t>
  </si>
  <si>
    <t>soot0023</t>
  </si>
  <si>
    <t>soot0024</t>
  </si>
  <si>
    <t>soot_B001</t>
  </si>
  <si>
    <t>soot_B002</t>
  </si>
  <si>
    <t>soot_B003</t>
  </si>
  <si>
    <t>soot_B004</t>
  </si>
  <si>
    <t>soot_B005</t>
  </si>
  <si>
    <t>soot_B006</t>
  </si>
  <si>
    <t>soot_B007</t>
  </si>
  <si>
    <t>soot_B008</t>
  </si>
  <si>
    <t>soot_B009</t>
  </si>
  <si>
    <t>Q Value</t>
  </si>
  <si>
    <t>Freq (GHz)</t>
  </si>
  <si>
    <t>Integration Width (G)</t>
  </si>
  <si>
    <r>
      <t>Variance (spin mg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 (Body)"/>
      </rPr>
      <t>)</t>
    </r>
  </si>
  <si>
    <r>
      <t>spins mg</t>
    </r>
    <r>
      <rPr>
        <b/>
        <vertAlign val="superscript"/>
        <sz val="12"/>
        <color theme="1"/>
        <rFont val="Calibri (Body)"/>
      </rPr>
      <t>-1</t>
    </r>
  </si>
  <si>
    <t>Average Absolute Spins</t>
  </si>
  <si>
    <t>A</t>
  </si>
  <si>
    <t>Fresh soot 1</t>
  </si>
  <si>
    <t>Fresh soot 2</t>
  </si>
  <si>
    <t>Fresh soot 3</t>
  </si>
  <si>
    <t>B</t>
  </si>
  <si>
    <t>Dry photo-aged soot 1</t>
  </si>
  <si>
    <t>Dry photo-aged soot 2</t>
  </si>
  <si>
    <t>Dry photo-aged soot 3</t>
  </si>
  <si>
    <t>C</t>
  </si>
  <si>
    <t>Dry dark-aged soot 1</t>
  </si>
  <si>
    <t>Dry dark-aged soot 2</t>
  </si>
  <si>
    <t>Dry dark-aged soot 3</t>
  </si>
  <si>
    <t>G</t>
  </si>
  <si>
    <t>Photo-aged soot light 1</t>
  </si>
  <si>
    <t>Photo-aged soot light 2</t>
  </si>
  <si>
    <t>Photo-aged soot light 3</t>
  </si>
  <si>
    <t>F</t>
  </si>
  <si>
    <t>Photo-aged soot dark 1</t>
  </si>
  <si>
    <t>Photo-aged soot dark 2</t>
  </si>
  <si>
    <t>Photo-aged soot dark 3</t>
  </si>
  <si>
    <t>D</t>
  </si>
  <si>
    <t>dark-aged soot dark 1</t>
  </si>
  <si>
    <t>dark-aged soot dark 2</t>
  </si>
  <si>
    <t>dark-aged soot dark 3</t>
  </si>
  <si>
    <t>E</t>
  </si>
  <si>
    <t>dark-aged soot light 1</t>
  </si>
  <si>
    <t>dark-aged soot light 2</t>
  </si>
  <si>
    <t>dark-aged soot light 3</t>
  </si>
  <si>
    <t>Sample Name</t>
  </si>
  <si>
    <t>Batch</t>
  </si>
  <si>
    <t>New Batch</t>
  </si>
  <si>
    <t>Average spins mg-1</t>
  </si>
  <si>
    <t>F-Test Two-Sample for Variances</t>
  </si>
  <si>
    <t>Mean</t>
  </si>
  <si>
    <t>Variance</t>
  </si>
  <si>
    <t>Observations</t>
  </si>
  <si>
    <t>df</t>
  </si>
  <si>
    <t>P(F&lt;=f) one-tail</t>
  </si>
  <si>
    <t>F Critical one-tail</t>
  </si>
  <si>
    <t>t-Test: Two-Sample Assuming Unequal Variances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</si>
  <si>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</si>
  <si>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</si>
  <si>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</si>
  <si>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</si>
  <si>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</si>
  <si>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</si>
  <si>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Equal Variances</t>
  </si>
  <si>
    <t>Pooled Variance</t>
  </si>
  <si>
    <t>N</t>
  </si>
  <si>
    <t>Significant difference?</t>
  </si>
  <si>
    <t>AB</t>
  </si>
  <si>
    <t>AC</t>
  </si>
  <si>
    <t>AD</t>
  </si>
  <si>
    <t>AE</t>
  </si>
  <si>
    <t>AF</t>
  </si>
  <si>
    <t>AG</t>
  </si>
  <si>
    <t>BC</t>
  </si>
  <si>
    <t>BD</t>
  </si>
  <si>
    <t>BE</t>
  </si>
  <si>
    <t>BF</t>
  </si>
  <si>
    <t>BG</t>
  </si>
  <si>
    <t>CD</t>
  </si>
  <si>
    <t>CE</t>
  </si>
  <si>
    <t>CF</t>
  </si>
  <si>
    <t>CG</t>
  </si>
  <si>
    <t>DE</t>
  </si>
  <si>
    <t>DF</t>
  </si>
  <si>
    <t>DG</t>
  </si>
  <si>
    <t>EF</t>
  </si>
  <si>
    <t>EG</t>
  </si>
  <si>
    <t>FG</t>
  </si>
  <si>
    <t>Stage I</t>
  </si>
  <si>
    <t>Stage II</t>
  </si>
  <si>
    <t>Stage III</t>
  </si>
  <si>
    <t>Stage I &amp; II</t>
  </si>
  <si>
    <t>Gaussian</t>
  </si>
  <si>
    <t>Lorentzian</t>
  </si>
  <si>
    <t>Organic radicals are generally in the range of 1.99-2.01 (source?)</t>
  </si>
  <si>
    <t>Stage</t>
  </si>
  <si>
    <t>I</t>
  </si>
  <si>
    <t>II</t>
  </si>
  <si>
    <t>III</t>
  </si>
  <si>
    <t>spins mg-1</t>
  </si>
  <si>
    <t xml:space="preserve"> Fresh soot 2</t>
  </si>
  <si>
    <t xml:space="preserve"> Fresh soot 3</t>
  </si>
  <si>
    <t xml:space="preserve"> Dry photo-aged soot 1</t>
  </si>
  <si>
    <t xml:space="preserve"> Dry photo-aged soot 2</t>
  </si>
  <si>
    <t xml:space="preserve"> Dry photo-aged soot 3</t>
  </si>
  <si>
    <t xml:space="preserve"> Dry dark-aged soot 1</t>
  </si>
  <si>
    <t xml:space="preserve"> Dry dark-aged soot 2</t>
  </si>
  <si>
    <t xml:space="preserve"> Dry dark-aged soot 3</t>
  </si>
  <si>
    <t xml:space="preserve"> dark-aged soot dark 1</t>
  </si>
  <si>
    <t xml:space="preserve"> dark-aged soot dark 2</t>
  </si>
  <si>
    <t xml:space="preserve"> dark-aged soot dark 3</t>
  </si>
  <si>
    <t xml:space="preserve"> dark-aged soot light 1</t>
  </si>
  <si>
    <t xml:space="preserve"> dark-aged soot light 2</t>
  </si>
  <si>
    <t xml:space="preserve"> dark-aged soot light 3</t>
  </si>
  <si>
    <t xml:space="preserve"> Photo-aged soot dark 1</t>
  </si>
  <si>
    <t xml:space="preserve"> Photo-aged soot dark 2</t>
  </si>
  <si>
    <t xml:space="preserve"> Photo-aged soot dark 3</t>
  </si>
  <si>
    <t xml:space="preserve"> Photo-aged soot light 1</t>
  </si>
  <si>
    <t xml:space="preserve"> Photo-aged soot light 2</t>
  </si>
  <si>
    <t xml:space="preserve"> Photo-aged soot light 3</t>
  </si>
  <si>
    <t>Letter</t>
  </si>
  <si>
    <t>AVERAGE</t>
  </si>
  <si>
    <t>SD</t>
  </si>
  <si>
    <t>BATCH, spins mg-1</t>
  </si>
  <si>
    <t>EPR File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</si>
</sst>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0"/>
    <numFmt numFmtId="165" formatCode="0.0%"/>
    <numFmt numFmtId="166" formatCode="0.0E+00"/>
    <numFmt numFmtId="167" formatCode="0.0"/>
    <numFmt numFmtId="168" formatCode="0.000"/>
    <numFmt numFmtId="169" formatCode="0.00000"/>
    <numFmt numFmtId="170" formatCode="0.000%"/>
    <numFmt numFmtId="171" formatCode="&quot;±&quot;\ 0.00E+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color theme="1"/>
      <name val="Calibri (Body)"/>
    </font>
    <font>
      <sz val="12"/>
      <name val="Calibri"/>
      <family val="2"/>
      <scheme val="minor"/>
    </font>
    <font>
      <b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FFD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0" fillId="0" borderId="0" xfId="0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164" fontId="0" fillId="4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67" fontId="0" fillId="0" borderId="0" xfId="0" applyNumberFormat="1" applyAlignment="1">
      <alignment horizontal="center"/>
    </xf>
    <xf numFmtId="0" fontId="0" fillId="4" borderId="0" xfId="0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4" borderId="0" xfId="0" applyNumberFormat="1" applyFill="1" applyAlignment="1">
      <alignment horizontal="center"/>
    </xf>
    <xf numFmtId="11" fontId="0" fillId="0" borderId="0" xfId="1" applyNumberFormat="1" applyFont="1" applyAlignment="1">
      <alignment horizontal="center"/>
    </xf>
    <xf numFmtId="0" fontId="0" fillId="0" borderId="3" xfId="0" applyBorder="1" applyAlignment="1">
      <alignment horizontal="center"/>
    </xf>
    <xf numFmtId="9" fontId="0" fillId="0" borderId="3" xfId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0" fontId="0" fillId="3" borderId="0" xfId="0" applyFont="1" applyFill="1" applyAlignment="1">
      <alignment horizontal="center"/>
    </xf>
    <xf numFmtId="168" fontId="0" fillId="0" borderId="0" xfId="0" applyNumberFormat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4" borderId="1" xfId="0" applyNumberFormat="1" applyFill="1" applyBorder="1" applyAlignment="1">
      <alignment horizontal="center"/>
    </xf>
    <xf numFmtId="11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9" fontId="0" fillId="0" borderId="0" xfId="1" applyFont="1" applyBorder="1" applyAlignment="1">
      <alignment horizontal="center"/>
    </xf>
    <xf numFmtId="9" fontId="0" fillId="0" borderId="0" xfId="1" applyFont="1"/>
    <xf numFmtId="169" fontId="0" fillId="0" borderId="0" xfId="0" applyNumberFormat="1" applyBorder="1" applyAlignment="1">
      <alignment horizontal="center"/>
    </xf>
    <xf numFmtId="169" fontId="0" fillId="0" borderId="0" xfId="0" applyNumberFormat="1"/>
    <xf numFmtId="168" fontId="0" fillId="0" borderId="0" xfId="0" applyNumberFormat="1"/>
    <xf numFmtId="10" fontId="0" fillId="0" borderId="0" xfId="1" applyNumberFormat="1" applyFont="1"/>
    <xf numFmtId="1" fontId="0" fillId="0" borderId="0" xfId="0" applyNumberFormat="1"/>
    <xf numFmtId="167" fontId="0" fillId="0" borderId="0" xfId="0" applyNumberFormat="1" applyBorder="1" applyAlignment="1">
      <alignment horizontal="center"/>
    </xf>
    <xf numFmtId="11" fontId="0" fillId="0" borderId="0" xfId="0" applyNumberFormat="1" applyBorder="1"/>
    <xf numFmtId="9" fontId="0" fillId="0" borderId="0" xfId="1" applyNumberFormat="1" applyFont="1"/>
    <xf numFmtId="0" fontId="0" fillId="0" borderId="0" xfId="0" applyFill="1" applyBorder="1" applyAlignment="1"/>
    <xf numFmtId="0" fontId="0" fillId="0" borderId="5" xfId="0" applyFill="1" applyBorder="1" applyAlignment="1"/>
    <xf numFmtId="0" fontId="9" fillId="0" borderId="4" xfId="0" applyFont="1" applyFill="1" applyBorder="1" applyAlignment="1">
      <alignment horizontal="center"/>
    </xf>
    <xf numFmtId="0" fontId="7" fillId="0" borderId="0" xfId="0" applyFont="1"/>
    <xf numFmtId="0" fontId="0" fillId="5" borderId="0" xfId="0" applyFill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164" fontId="0" fillId="0" borderId="0" xfId="0" applyNumberFormat="1" applyBorder="1"/>
    <xf numFmtId="9" fontId="0" fillId="0" borderId="3" xfId="1" applyFont="1" applyBorder="1"/>
    <xf numFmtId="0" fontId="0" fillId="0" borderId="10" xfId="0" applyBorder="1"/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3" xfId="0" applyBorder="1"/>
    <xf numFmtId="168" fontId="0" fillId="0" borderId="0" xfId="0" applyNumberFormat="1" applyBorder="1"/>
    <xf numFmtId="9" fontId="0" fillId="0" borderId="0" xfId="1" applyFont="1" applyBorder="1"/>
    <xf numFmtId="170" fontId="0" fillId="0" borderId="0" xfId="1" applyNumberFormat="1" applyFont="1"/>
    <xf numFmtId="170" fontId="0" fillId="0" borderId="0" xfId="0" applyNumberFormat="1"/>
    <xf numFmtId="166" fontId="0" fillId="0" borderId="0" xfId="0" applyNumberFormat="1"/>
    <xf numFmtId="0" fontId="0" fillId="0" borderId="0" xfId="0" applyBorder="1" applyAlignment="1">
      <alignment horizontal="center" vertical="center"/>
    </xf>
    <xf numFmtId="168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1" fontId="0" fillId="6" borderId="0" xfId="0" applyNumberFormat="1" applyFill="1" applyBorder="1" applyAlignment="1">
      <alignment horizontal="center" vertical="center"/>
    </xf>
    <xf numFmtId="168" fontId="0" fillId="6" borderId="0" xfId="0" applyNumberFormat="1" applyFill="1" applyBorder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11" fontId="0" fillId="6" borderId="0" xfId="0" applyNumberFormat="1" applyFill="1" applyAlignment="1">
      <alignment horizontal="center" vertical="center"/>
    </xf>
    <xf numFmtId="168" fontId="0" fillId="6" borderId="0" xfId="0" applyNumberFormat="1" applyFill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1" fontId="0" fillId="7" borderId="0" xfId="0" applyNumberFormat="1" applyFill="1" applyBorder="1" applyAlignment="1">
      <alignment horizontal="center" vertical="center"/>
    </xf>
    <xf numFmtId="168" fontId="0" fillId="7" borderId="0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1" fontId="0" fillId="7" borderId="0" xfId="0" applyNumberFormat="1" applyFill="1" applyAlignment="1">
      <alignment horizontal="center" vertical="center"/>
    </xf>
    <xf numFmtId="168" fontId="0" fillId="7" borderId="0" xfId="0" applyNumberFormat="1" applyFill="1" applyAlignment="1">
      <alignment horizontal="center" vertical="center"/>
    </xf>
    <xf numFmtId="171" fontId="0" fillId="0" borderId="0" xfId="0" applyNumberFormat="1" applyAlignment="1">
      <alignment horizontal="center" vertical="center"/>
    </xf>
    <xf numFmtId="171" fontId="0" fillId="7" borderId="0" xfId="0" applyNumberFormat="1" applyFill="1" applyAlignment="1">
      <alignment horizontal="center" vertical="center"/>
    </xf>
    <xf numFmtId="171" fontId="0" fillId="6" borderId="0" xfId="0" applyNumberForma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24"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strike val="0"/>
        <color rgb="FFFF000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n-US" sz="14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 panose="020F0502020204030204"/>
              </a:rPr>
              <a:t>Chart Title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'Integration areas'!$C$1</c:f>
              <c:strCache>
                <c:ptCount val="1"/>
                <c:pt idx="0">
                  <c:v>x-min (G)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'Integration areas'!$B$2:$B$22</c:f>
              <c:strCache>
                <c:ptCount val="21"/>
                <c:pt idx="0">
                  <c:v>A</c:v>
                </c:pt>
                <c:pt idx="1">
                  <c:v>A</c:v>
                </c:pt>
                <c:pt idx="2">
                  <c:v>A</c:v>
                </c:pt>
                <c:pt idx="3">
                  <c:v>B</c:v>
                </c:pt>
                <c:pt idx="4">
                  <c:v>B</c:v>
                </c:pt>
                <c:pt idx="5">
                  <c:v>B</c:v>
                </c:pt>
                <c:pt idx="6">
                  <c:v>C</c:v>
                </c:pt>
                <c:pt idx="7">
                  <c:v>C</c:v>
                </c:pt>
                <c:pt idx="8">
                  <c:v>C</c:v>
                </c:pt>
                <c:pt idx="9">
                  <c:v>D</c:v>
                </c:pt>
                <c:pt idx="10">
                  <c:v>D</c:v>
                </c:pt>
                <c:pt idx="11">
                  <c:v>D</c:v>
                </c:pt>
                <c:pt idx="12">
                  <c:v>E</c:v>
                </c:pt>
                <c:pt idx="13">
                  <c:v>E</c:v>
                </c:pt>
                <c:pt idx="14">
                  <c:v>E</c:v>
                </c:pt>
                <c:pt idx="15">
                  <c:v>F</c:v>
                </c:pt>
                <c:pt idx="16">
                  <c:v>F</c:v>
                </c:pt>
                <c:pt idx="17">
                  <c:v>F</c:v>
                </c:pt>
                <c:pt idx="18">
                  <c:v>G</c:v>
                </c:pt>
                <c:pt idx="19">
                  <c:v>G</c:v>
                </c:pt>
                <c:pt idx="20">
                  <c:v>G</c:v>
                </c:pt>
              </c:strCache>
            </c:strRef>
          </c:xVal>
          <c:yVal>
            <c:numRef>
              <c:f>'Integration areas'!$C$2:$C$22</c:f>
              <c:numCache>
                <c:formatCode>0.0000</c:formatCode>
                <c:ptCount val="21"/>
                <c:pt idx="0">
                  <c:v>3412.6666666666665</c:v>
                </c:pt>
                <c:pt idx="1">
                  <c:v>3406</c:v>
                </c:pt>
                <c:pt idx="2">
                  <c:v>3411</c:v>
                </c:pt>
                <c:pt idx="3">
                  <c:v>3411</c:v>
                </c:pt>
                <c:pt idx="4">
                  <c:v>3408</c:v>
                </c:pt>
                <c:pt idx="5">
                  <c:v>3410</c:v>
                </c:pt>
                <c:pt idx="6">
                  <c:v>3411</c:v>
                </c:pt>
                <c:pt idx="7">
                  <c:v>3408.3333333333335</c:v>
                </c:pt>
                <c:pt idx="8">
                  <c:v>3407</c:v>
                </c:pt>
                <c:pt idx="9">
                  <c:v>3420</c:v>
                </c:pt>
                <c:pt idx="10">
                  <c:v>3417</c:v>
                </c:pt>
                <c:pt idx="11">
                  <c:v>3409.6666666666665</c:v>
                </c:pt>
                <c:pt idx="12">
                  <c:v>3409.6666666666665</c:v>
                </c:pt>
                <c:pt idx="13">
                  <c:v>3409</c:v>
                </c:pt>
                <c:pt idx="14">
                  <c:v>3414.6666666666665</c:v>
                </c:pt>
                <c:pt idx="15">
                  <c:v>3410.3333333333335</c:v>
                </c:pt>
                <c:pt idx="16">
                  <c:v>3416</c:v>
                </c:pt>
                <c:pt idx="17">
                  <c:v>3414</c:v>
                </c:pt>
                <c:pt idx="18">
                  <c:v>3410.3333333333335</c:v>
                </c:pt>
                <c:pt idx="19">
                  <c:v>3415</c:v>
                </c:pt>
                <c:pt idx="20">
                  <c:v>3412.6666666666665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DC-4248-A094-74B47863EF17}"/>
            </c:ext>
          </c:extLst>
        </c:ser>
        <c:ser>
          <c:idx val="1"/>
          <c:order val="1"/>
          <c:tx>
            <c:strRef>
              <c:f>'Integration areas'!$D$1</c:f>
              <c:strCache>
                <c:ptCount val="1"/>
                <c:pt idx="0">
                  <c:v>x-max (G)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'Integration areas'!$B$2:$B$22</c:f>
              <c:strCache>
                <c:ptCount val="21"/>
                <c:pt idx="0">
                  <c:v>A</c:v>
                </c:pt>
                <c:pt idx="1">
                  <c:v>A</c:v>
                </c:pt>
                <c:pt idx="2">
                  <c:v>A</c:v>
                </c:pt>
                <c:pt idx="3">
                  <c:v>B</c:v>
                </c:pt>
                <c:pt idx="4">
                  <c:v>B</c:v>
                </c:pt>
                <c:pt idx="5">
                  <c:v>B</c:v>
                </c:pt>
                <c:pt idx="6">
                  <c:v>C</c:v>
                </c:pt>
                <c:pt idx="7">
                  <c:v>C</c:v>
                </c:pt>
                <c:pt idx="8">
                  <c:v>C</c:v>
                </c:pt>
                <c:pt idx="9">
                  <c:v>D</c:v>
                </c:pt>
                <c:pt idx="10">
                  <c:v>D</c:v>
                </c:pt>
                <c:pt idx="11">
                  <c:v>D</c:v>
                </c:pt>
                <c:pt idx="12">
                  <c:v>E</c:v>
                </c:pt>
                <c:pt idx="13">
                  <c:v>E</c:v>
                </c:pt>
                <c:pt idx="14">
                  <c:v>E</c:v>
                </c:pt>
                <c:pt idx="15">
                  <c:v>F</c:v>
                </c:pt>
                <c:pt idx="16">
                  <c:v>F</c:v>
                </c:pt>
                <c:pt idx="17">
                  <c:v>F</c:v>
                </c:pt>
                <c:pt idx="18">
                  <c:v>G</c:v>
                </c:pt>
                <c:pt idx="19">
                  <c:v>G</c:v>
                </c:pt>
                <c:pt idx="20">
                  <c:v>G</c:v>
                </c:pt>
              </c:strCache>
            </c:strRef>
          </c:xVal>
          <c:yVal>
            <c:numRef>
              <c:f>'Integration areas'!$D$2:$D$22</c:f>
              <c:numCache>
                <c:formatCode>0.0000</c:formatCode>
                <c:ptCount val="21"/>
                <c:pt idx="0">
                  <c:v>3479.6666666666665</c:v>
                </c:pt>
                <c:pt idx="1">
                  <c:v>3483.3333333333335</c:v>
                </c:pt>
                <c:pt idx="2">
                  <c:v>3479</c:v>
                </c:pt>
                <c:pt idx="3">
                  <c:v>3481</c:v>
                </c:pt>
                <c:pt idx="4">
                  <c:v>3480.6666666666665</c:v>
                </c:pt>
                <c:pt idx="5">
                  <c:v>3479.6666666666665</c:v>
                </c:pt>
                <c:pt idx="6">
                  <c:v>3479</c:v>
                </c:pt>
                <c:pt idx="7">
                  <c:v>3479.6666666666665</c:v>
                </c:pt>
                <c:pt idx="8">
                  <c:v>3482.3333333333335</c:v>
                </c:pt>
                <c:pt idx="9">
                  <c:v>3475.6666666666665</c:v>
                </c:pt>
                <c:pt idx="10">
                  <c:v>3477</c:v>
                </c:pt>
                <c:pt idx="11">
                  <c:v>3482</c:v>
                </c:pt>
                <c:pt idx="12">
                  <c:v>3479.6666666666665</c:v>
                </c:pt>
                <c:pt idx="13">
                  <c:v>3485.6666666666665</c:v>
                </c:pt>
                <c:pt idx="14">
                  <c:v>3476</c:v>
                </c:pt>
                <c:pt idx="15">
                  <c:v>3481.6666666666665</c:v>
                </c:pt>
                <c:pt idx="16">
                  <c:v>3477</c:v>
                </c:pt>
                <c:pt idx="17">
                  <c:v>3477</c:v>
                </c:pt>
                <c:pt idx="18">
                  <c:v>3482.3333333333335</c:v>
                </c:pt>
                <c:pt idx="19">
                  <c:v>3477.3333333333335</c:v>
                </c:pt>
                <c:pt idx="20">
                  <c:v>3481.3333333333335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DC-4248-A094-74B47863E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363232"/>
        <c:axId val="1146312864"/>
      </c:scatterChart>
      <c:scatterChart>
        <c:scatterStyle val="lineMarker"/>
        <c:varyColors val="0"/>
        <c:ser>
          <c:idx val="2"/>
          <c:order val="2"/>
          <c:tx>
            <c:strRef>
              <c:f>'Integration areas'!$E$1</c:f>
              <c:strCache>
                <c:ptCount val="1"/>
                <c:pt idx="0">
                  <c:v>Integration Width (G)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lt1"/>
                </a:solidFill>
              </a:ln>
              <a:effectLst/>
            </c:spPr>
          </c:marker>
          <c:xVal>
            <c:strRef>
              <c:f>'Integration areas'!$B$2:$B$22</c:f>
              <c:strCache>
                <c:ptCount val="21"/>
                <c:pt idx="0">
                  <c:v>A</c:v>
                </c:pt>
                <c:pt idx="1">
                  <c:v>A</c:v>
                </c:pt>
                <c:pt idx="2">
                  <c:v>A</c:v>
                </c:pt>
                <c:pt idx="3">
                  <c:v>B</c:v>
                </c:pt>
                <c:pt idx="4">
                  <c:v>B</c:v>
                </c:pt>
                <c:pt idx="5">
                  <c:v>B</c:v>
                </c:pt>
                <c:pt idx="6">
                  <c:v>C</c:v>
                </c:pt>
                <c:pt idx="7">
                  <c:v>C</c:v>
                </c:pt>
                <c:pt idx="8">
                  <c:v>C</c:v>
                </c:pt>
                <c:pt idx="9">
                  <c:v>D</c:v>
                </c:pt>
                <c:pt idx="10">
                  <c:v>D</c:v>
                </c:pt>
                <c:pt idx="11">
                  <c:v>D</c:v>
                </c:pt>
                <c:pt idx="12">
                  <c:v>E</c:v>
                </c:pt>
                <c:pt idx="13">
                  <c:v>E</c:v>
                </c:pt>
                <c:pt idx="14">
                  <c:v>E</c:v>
                </c:pt>
                <c:pt idx="15">
                  <c:v>F</c:v>
                </c:pt>
                <c:pt idx="16">
                  <c:v>F</c:v>
                </c:pt>
                <c:pt idx="17">
                  <c:v>F</c:v>
                </c:pt>
                <c:pt idx="18">
                  <c:v>G</c:v>
                </c:pt>
                <c:pt idx="19">
                  <c:v>G</c:v>
                </c:pt>
                <c:pt idx="20">
                  <c:v>G</c:v>
                </c:pt>
              </c:strCache>
            </c:strRef>
          </c:xVal>
          <c:yVal>
            <c:numRef>
              <c:f>'Integration areas'!$E$2:$E$22</c:f>
              <c:numCache>
                <c:formatCode>0.0</c:formatCode>
                <c:ptCount val="21"/>
                <c:pt idx="0">
                  <c:v>67</c:v>
                </c:pt>
                <c:pt idx="1">
                  <c:v>77.333333333333485</c:v>
                </c:pt>
                <c:pt idx="2">
                  <c:v>68</c:v>
                </c:pt>
                <c:pt idx="3">
                  <c:v>70</c:v>
                </c:pt>
                <c:pt idx="4">
                  <c:v>72.666666666666515</c:v>
                </c:pt>
                <c:pt idx="5">
                  <c:v>69.666666666666515</c:v>
                </c:pt>
                <c:pt idx="6">
                  <c:v>68</c:v>
                </c:pt>
                <c:pt idx="7">
                  <c:v>71.33333333333303</c:v>
                </c:pt>
                <c:pt idx="8">
                  <c:v>75.333333333333485</c:v>
                </c:pt>
                <c:pt idx="9">
                  <c:v>55.666666666666515</c:v>
                </c:pt>
                <c:pt idx="10">
                  <c:v>60</c:v>
                </c:pt>
                <c:pt idx="11">
                  <c:v>72.333333333333485</c:v>
                </c:pt>
                <c:pt idx="12">
                  <c:v>70</c:v>
                </c:pt>
                <c:pt idx="13">
                  <c:v>76.666666666666515</c:v>
                </c:pt>
                <c:pt idx="14">
                  <c:v>61.333333333333485</c:v>
                </c:pt>
                <c:pt idx="15">
                  <c:v>71.33333333333303</c:v>
                </c:pt>
                <c:pt idx="16">
                  <c:v>61</c:v>
                </c:pt>
                <c:pt idx="17">
                  <c:v>63</c:v>
                </c:pt>
                <c:pt idx="18">
                  <c:v>72</c:v>
                </c:pt>
                <c:pt idx="19">
                  <c:v>62.333333333333485</c:v>
                </c:pt>
                <c:pt idx="20">
                  <c:v>68.66666666666697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DC-4248-A094-74B47863E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6294320"/>
        <c:axId val="1148813680"/>
      </c:scatterChart>
      <c:valAx>
        <c:axId val="114836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312864"/>
        <c:crosses val="autoZero"/>
        <c:crossBetween val="midCat"/>
      </c:valAx>
      <c:valAx>
        <c:axId val="1146312864"/>
        <c:scaling>
          <c:orientation val="minMax"/>
          <c:max val="3500"/>
          <c:min val="3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363232"/>
        <c:crosses val="autoZero"/>
        <c:crossBetween val="midCat"/>
      </c:valAx>
      <c:valAx>
        <c:axId val="1148813680"/>
        <c:scaling>
          <c:orientation val="minMax"/>
          <c:max val="100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294320"/>
        <c:crosses val="max"/>
        <c:crossBetween val="midCat"/>
      </c:valAx>
      <c:valAx>
        <c:axId val="1146294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881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1">
      <cx:tx>
        <cx:txData>
          <cx:v>Soot density (mg/mm)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4800"/>
          </a:pPr>
          <a:r>
            <a:rPr lang="en-US" sz="4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Soot density (mg/mm)</a:t>
          </a:r>
        </a:p>
      </cx:txPr>
    </cx:title>
    <cx:plotArea>
      <cx:plotAreaRegion>
        <cx:series layoutId="boxWhisker" uniqueId="{CA0E02FE-8892-294A-AD13-750905D544FE}">
          <cx:tx>
            <cx:txData>
              <cx:f>_xlchart.v1.1</cx:f>
              <cx:v>Soot density (mg/mm)</cx:v>
            </cx:txData>
          </cx:tx>
          <cx:spPr>
            <a:solidFill>
              <a:schemeClr val="accent4"/>
            </a:solidFill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/>
            </a:pPr>
            <a:endParaRPr 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/>
            </a:pPr>
            <a:endParaRPr lang="en-US" sz="11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>
      <cx:tx>
        <cx:txData>
          <cx:v>g Factor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4400"/>
          </a:pPr>
          <a:r>
            <a:rPr lang="en-US" sz="4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 Factor</a:t>
          </a:r>
        </a:p>
      </cx:txPr>
    </cx:title>
    <cx:plotArea>
      <cx:plotAreaRegion>
        <cx:series layoutId="boxWhisker" uniqueId="{355000DD-51EE-A54C-BDC7-3D7115B4770D}">
          <cx:tx>
            <cx:txData>
              <cx:f>_xlchart.v1.4</cx:f>
              <cx:v>g factor</cx:v>
            </cx:txData>
          </cx:tx>
          <cx:spPr>
            <a:solidFill>
              <a:schemeClr val="accent4"/>
            </a:solidFill>
          </cx:spPr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/>
            </a:pPr>
            <a:endParaRPr 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 max="2.0057999999999998" min="2.0053999999999998"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_xlchart.v1.6</cx:f>
      </cx:strDim>
      <cx:numDim type="val">
        <cx:f>_xlchart.v1.8</cx:f>
      </cx:numDim>
    </cx:data>
    <cx:data id="1">
      <cx:strDim type="cat">
        <cx:f>_xlchart.v1.6</cx:f>
      </cx:strDim>
      <cx:numDim type="val">
        <cx:f>_xlchart.v1.10</cx:f>
      </cx:numDim>
    </cx:data>
  </cx:chartData>
  <cx:chart>
    <cx:title pos="t" align="ctr" overlay="1">
      <cx:tx>
        <cx:txData>
          <cx:v>Line Shape Analysis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4400"/>
          </a:pPr>
          <a:r>
            <a:rPr lang="en-US" sz="4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Line Shape Analysis</a:t>
          </a:r>
        </a:p>
      </cx:txPr>
    </cx:title>
    <cx:plotArea>
      <cx:plotAreaRegion>
        <cx:series layoutId="boxWhisker" uniqueId="{3A2CDAC9-A8E9-B24E-B41E-DCA365972C28}">
          <cx:tx>
            <cx:txData>
              <cx:f>_xlchart.v1.7</cx:f>
              <cx:v>Gaussian (mT)</cx:v>
            </cx:txData>
          </cx:tx>
          <cx:dataId val="0"/>
          <cx:layoutPr>
            <cx:visibility meanLine="0" meanMarker="1" nonoutliers="0" outliers="1"/>
            <cx:statistics quartileMethod="inclusive"/>
          </cx:layoutPr>
        </cx:series>
        <cx:series layoutId="boxWhisker" uniqueId="{02B288A7-F2B8-3B4C-821A-24F825B0B222}">
          <cx:tx>
            <cx:txData>
              <cx:f>_xlchart.v1.9</cx:f>
              <cx:v>Lorentzian (mT)</cx:v>
            </cx:txData>
          </cx:tx>
          <cx:dataId val="1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800"/>
            </a:pPr>
            <a:endParaRPr lang="en-US" sz="28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</cx:plotArea>
    <cx:legend pos="b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2000"/>
          </a:pPr>
          <a:endParaRPr lang="en-US" sz="20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_xlchart.v1.11</cx:f>
      </cx:strDim>
      <cx:numDim type="val">
        <cx:f>_xlchart.v1.13</cx:f>
      </cx:numDim>
    </cx:data>
  </cx:chartData>
  <cx:chart>
    <cx:title pos="t" align="ctr" overlay="1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 sz="4000"/>
            </a:pPr>
            <a:r>
              <a:rPr lang="en-US" sz="4000" b="0" i="0" baseline="0">
                <a:effectLst/>
              </a:rPr>
              <a:t>Spin Density (spins mg</a:t>
            </a:r>
            <a:r>
              <a:rPr lang="en-US" sz="4000" b="0" i="0" baseline="30000">
                <a:effectLst/>
              </a:rPr>
              <a:t>-1</a:t>
            </a:r>
            <a:r>
              <a:rPr lang="en-US" sz="4000" b="0" i="0" baseline="0">
                <a:effectLst/>
              </a:rPr>
              <a:t>)</a:t>
            </a:r>
            <a:endParaRPr lang="en-US" sz="4000" baseline="0">
              <a:effectLst/>
            </a:endParaRPr>
          </a:p>
        </cx:rich>
      </cx:tx>
    </cx:title>
    <cx:plotArea>
      <cx:plotAreaRegion>
        <cx:series layoutId="boxWhisker" uniqueId="{E71CFE86-C042-DC4D-95D2-0BFBA55A7B35}">
          <cx:tx>
            <cx:txData>
              <cx:f>_xlchart.v1.12</cx:f>
              <cx:v>spins mg-1</cx:v>
            </cx:txData>
          </cx:tx>
          <cx:spPr>
            <a:solidFill>
              <a:schemeClr val="accent6">
                <a:lumMod val="60000"/>
                <a:lumOff val="40000"/>
              </a:schemeClr>
            </a:solidFill>
          </cx:spPr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2000"/>
            </a:pPr>
            <a:endParaRPr lang="en-US" sz="2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 min="10000000000000000"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_xlchart.v1.17</cx:f>
      </cx:strDim>
      <cx:numDim type="val">
        <cx:f>_xlchart.v1.19</cx:f>
      </cx:numDim>
    </cx:data>
  </cx:chartData>
  <cx:chart>
    <cx:title pos="t" align="ctr" overlay="0">
      <cx:tx>
        <cx:txData>
          <cx:v>Q Value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Q Value</a:t>
          </a:r>
        </a:p>
      </cx:txPr>
    </cx:title>
    <cx:plotArea>
      <cx:plotAreaRegion>
        <cx:series layoutId="boxWhisker" uniqueId="{87ABC27D-D537-B548-A1A6-E32481FFC02E}">
          <cx:tx>
            <cx:txData>
              <cx:f>_xlchart.v1.18</cx:f>
              <cx:v>Q Value</cx:v>
            </cx:txData>
          </cx:tx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 max="5200" min="2500"/>
        <cx:majorGridlines/>
        <cx:tickLabels/>
        <cx:numFmt formatCode="General" sourceLinked="0"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val">
        <cx:f>_xlchart.v1.16</cx:f>
      </cx:numDim>
    </cx:data>
  </cx:chartData>
  <cx:chart>
    <cx:title pos="t" align="ctr" overlay="0">
      <cx:tx>
        <cx:txData>
          <cx:v>Frequency (GHz)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Frequency (GHz)</a:t>
          </a:r>
        </a:p>
      </cx:txPr>
    </cx:title>
    <cx:plotArea>
      <cx:plotAreaRegion>
        <cx:series layoutId="boxWhisker" uniqueId="{BBC641D3-3066-2049-B2A3-2DC11CF94B99}">
          <cx:tx>
            <cx:txData>
              <cx:f>_xlchart.v1.15</cx:f>
              <cx:v>Freq (GHz)</cx:v>
            </cx:txData>
          </cx:tx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14/relationships/chartEx" Target="../charts/chartEx6.xml"/><Relationship Id="rId1" Type="http://schemas.microsoft.com/office/2014/relationships/chartEx" Target="../charts/chartEx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234950</xdr:colOff>
      <xdr:row>1</xdr:row>
      <xdr:rowOff>171450</xdr:rowOff>
    </xdr:from>
    <xdr:to>
      <xdr:col>15</xdr:col>
      <xdr:colOff>114300</xdr:colOff>
      <xdr:row>32</xdr:row>
      <xdr:rowOff>88900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4425D3D1-BE62-5245-9A0E-95B3BE346B3F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908550" y="374650"/>
              <a:ext cx="8959850" cy="6216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628650</xdr:colOff>
      <xdr:row>5</xdr:row>
      <xdr:rowOff>44450</xdr:rowOff>
    </xdr:from>
    <xdr:to>
      <xdr:col>17</xdr:col>
      <xdr:colOff>509270</xdr:colOff>
      <xdr:row>35</xdr:row>
      <xdr:rowOff>166370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EB78E01-4B5D-E34D-8EA7-4D91897C50D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07150" y="1060450"/>
              <a:ext cx="8961120" cy="62179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28</xdr:row>
      <xdr:rowOff>12700</xdr:rowOff>
    </xdr:from>
    <xdr:to>
      <xdr:col>10</xdr:col>
      <xdr:colOff>520700</xdr:colOff>
      <xdr:row>55</xdr:row>
      <xdr:rowOff>128270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38C7E72C-D4E0-9C43-BE7C-27EC7801CE5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8600" y="5702300"/>
              <a:ext cx="9055100" cy="560197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812800</xdr:colOff>
      <xdr:row>2</xdr:row>
      <xdr:rowOff>6350</xdr:rowOff>
    </xdr:from>
    <xdr:to>
      <xdr:col>16</xdr:col>
      <xdr:colOff>177800</xdr:colOff>
      <xdr:row>37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1066A0-E53F-B143-94B3-E1C47B3289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795354</xdr:colOff>
      <xdr:row>6</xdr:row>
      <xdr:rowOff>120009</xdr:rowOff>
    </xdr:from>
    <xdr:to>
      <xdr:col>19</xdr:col>
      <xdr:colOff>725362</xdr:colOff>
      <xdr:row>36</xdr:row>
      <xdr:rowOff>180353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53CFAA35-2C2C-7F4E-BA31-F4A5CDA77482}"/>
                </a:ext>
              </a:extLst>
            </xdr:cNvPr>
            <xdr:cNvGraphicFramePr>
              <a:graphicFrameLocks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440754" y="1339209"/>
              <a:ext cx="9010508" cy="615634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</xdr:colOff>
      <xdr:row>0</xdr:row>
      <xdr:rowOff>152400</xdr:rowOff>
    </xdr:from>
    <xdr:to>
      <xdr:col>15</xdr:col>
      <xdr:colOff>101600</xdr:colOff>
      <xdr:row>18</xdr:row>
      <xdr:rowOff>12700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CB7FC87C-B27A-AB4A-85AD-291131B2841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31100" y="152400"/>
              <a:ext cx="5778500" cy="3517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482600</xdr:colOff>
      <xdr:row>21</xdr:row>
      <xdr:rowOff>101600</xdr:rowOff>
    </xdr:from>
    <xdr:to>
      <xdr:col>15</xdr:col>
      <xdr:colOff>660400</xdr:colOff>
      <xdr:row>36</xdr:row>
      <xdr:rowOff>69850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4B3889D7-2AE5-5C45-AAF7-764AAFD9175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12100" y="4368800"/>
              <a:ext cx="5956300" cy="3016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FDE3A-FD23-7543-BF12-902C0B4668CA}">
  <dimension ref="A1:AW38"/>
  <sheetViews>
    <sheetView tabSelected="1" zoomScale="125" workbookViewId="0">
      <pane xSplit="4" ySplit="1" topLeftCell="E14" activePane="bottomRight" state="frozen"/>
      <selection pane="topRight" activeCell="C1" sqref="C1"/>
      <selection pane="bottomLeft" activeCell="A2" sqref="A2"/>
      <selection pane="bottomRight" activeCell="D39" sqref="D39"/>
    </sheetView>
  </sheetViews>
  <sheetFormatPr baseColWidth="10" defaultRowHeight="16" x14ac:dyDescent="0.2"/>
  <cols>
    <col min="1" max="1" width="8.83203125" style="10" bestFit="1" customWidth="1"/>
    <col min="2" max="2" width="11.33203125" style="10" bestFit="1" customWidth="1"/>
    <col min="3" max="3" width="24" style="10" bestFit="1" customWidth="1"/>
    <col min="4" max="4" width="11.33203125" style="10" customWidth="1"/>
    <col min="5" max="7" width="12.83203125" style="10" customWidth="1"/>
    <col min="8" max="8" width="8" style="10" customWidth="1"/>
    <col min="9" max="9" width="8.6640625" style="10" customWidth="1"/>
    <col min="10" max="10" width="6.1640625" style="10" customWidth="1"/>
    <col min="11" max="11" width="2" style="10" customWidth="1"/>
    <col min="12" max="14" width="10.5" style="10" customWidth="1"/>
    <col min="15" max="15" width="12.6640625" style="10" customWidth="1"/>
    <col min="16" max="16" width="11.33203125" style="10" customWidth="1"/>
    <col min="17" max="17" width="7.5" style="10" customWidth="1"/>
    <col min="18" max="18" width="2" style="10" customWidth="1"/>
    <col min="19" max="19" width="12.5" style="10" bestFit="1" customWidth="1"/>
    <col min="20" max="20" width="14.1640625" style="10" bestFit="1" customWidth="1"/>
    <col min="21" max="21" width="11.6640625" style="10" bestFit="1" customWidth="1"/>
    <col min="22" max="22" width="2" style="10" customWidth="1"/>
    <col min="23" max="23" width="7.6640625" style="10" bestFit="1" customWidth="1"/>
    <col min="24" max="24" width="10.1640625" style="10" bestFit="1" customWidth="1"/>
    <col min="25" max="25" width="10.5" style="10" bestFit="1" customWidth="1"/>
    <col min="26" max="26" width="11.33203125" style="10" bestFit="1" customWidth="1"/>
    <col min="27" max="27" width="7.5" style="10" bestFit="1" customWidth="1"/>
    <col min="28" max="28" width="8.6640625" style="10" bestFit="1" customWidth="1"/>
    <col min="29" max="29" width="9.6640625" style="10" bestFit="1" customWidth="1"/>
    <col min="30" max="30" width="2" style="10" customWidth="1"/>
    <col min="31" max="32" width="10" style="10" bestFit="1" customWidth="1"/>
    <col min="33" max="33" width="10.1640625" style="10" bestFit="1" customWidth="1"/>
    <col min="34" max="34" width="8.6640625" style="10" bestFit="1" customWidth="1"/>
    <col min="35" max="36" width="8.6640625" style="10" customWidth="1"/>
    <col min="37" max="37" width="20.6640625" style="10" bestFit="1" customWidth="1"/>
    <col min="38" max="38" width="8.6640625" style="10" bestFit="1" customWidth="1"/>
    <col min="39" max="39" width="6.1640625" style="10" bestFit="1" customWidth="1"/>
    <col min="40" max="40" width="9.5" style="10" bestFit="1" customWidth="1"/>
    <col min="41" max="41" width="8.6640625" style="10" bestFit="1" customWidth="1"/>
    <col min="42" max="42" width="6.1640625" style="10" bestFit="1" customWidth="1"/>
    <col min="43" max="43" width="10" style="10" bestFit="1" customWidth="1"/>
    <col min="44" max="44" width="4.83203125" style="10" bestFit="1" customWidth="1"/>
    <col min="45" max="45" width="6.1640625" style="10" bestFit="1" customWidth="1"/>
    <col min="46" max="16384" width="10.83203125" style="10"/>
  </cols>
  <sheetData>
    <row r="1" spans="1:49" s="5" customFormat="1" ht="37" x14ac:dyDescent="0.2">
      <c r="A1" s="4" t="s">
        <v>0</v>
      </c>
      <c r="B1" s="4" t="s">
        <v>183</v>
      </c>
      <c r="C1" s="4" t="s">
        <v>17</v>
      </c>
      <c r="D1" s="4" t="s">
        <v>179</v>
      </c>
      <c r="E1" s="4" t="s">
        <v>1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9</v>
      </c>
      <c r="K1" s="4"/>
      <c r="L1" s="4" t="s">
        <v>6</v>
      </c>
      <c r="M1" s="4" t="s">
        <v>7</v>
      </c>
      <c r="N1" s="4" t="s">
        <v>8</v>
      </c>
      <c r="O1" s="4" t="s">
        <v>4</v>
      </c>
      <c r="P1" s="4" t="s">
        <v>5</v>
      </c>
      <c r="Q1" s="4" t="s">
        <v>9</v>
      </c>
      <c r="S1" s="6" t="s">
        <v>40</v>
      </c>
      <c r="T1" s="6" t="s">
        <v>10</v>
      </c>
      <c r="U1" s="4" t="s">
        <v>47</v>
      </c>
      <c r="V1" s="4"/>
      <c r="W1" s="4" t="s">
        <v>70</v>
      </c>
      <c r="X1" s="4" t="s">
        <v>71</v>
      </c>
      <c r="Y1" s="4" t="s">
        <v>41</v>
      </c>
      <c r="Z1" s="4" t="s">
        <v>48</v>
      </c>
      <c r="AA1" s="6" t="s">
        <v>11</v>
      </c>
      <c r="AB1" s="7" t="s">
        <v>13</v>
      </c>
      <c r="AC1" s="7" t="s">
        <v>12</v>
      </c>
      <c r="AD1" s="8"/>
      <c r="AE1" s="8" t="s">
        <v>45</v>
      </c>
      <c r="AF1" s="8" t="s">
        <v>46</v>
      </c>
      <c r="AG1" s="8" t="s">
        <v>72</v>
      </c>
      <c r="AH1" s="4" t="s">
        <v>14</v>
      </c>
      <c r="AI1" s="4" t="s">
        <v>15</v>
      </c>
      <c r="AJ1" s="4" t="s">
        <v>16</v>
      </c>
      <c r="AK1" s="6" t="s">
        <v>75</v>
      </c>
      <c r="AL1" s="4" t="s">
        <v>5</v>
      </c>
      <c r="AM1" s="4" t="s">
        <v>9</v>
      </c>
      <c r="AN1" s="6" t="s">
        <v>74</v>
      </c>
      <c r="AO1" s="4" t="s">
        <v>5</v>
      </c>
      <c r="AP1" s="4" t="s">
        <v>9</v>
      </c>
      <c r="AQ1" s="9" t="s">
        <v>73</v>
      </c>
      <c r="AR1" s="4"/>
      <c r="AS1" s="4"/>
    </row>
    <row r="2" spans="1:49" hidden="1" x14ac:dyDescent="0.2">
      <c r="A2" s="10">
        <v>1</v>
      </c>
      <c r="B2" s="10" t="s">
        <v>28</v>
      </c>
      <c r="C2" s="10" t="s">
        <v>25</v>
      </c>
      <c r="E2" s="10">
        <v>0.18210000000000001</v>
      </c>
      <c r="F2" s="10">
        <v>0.1822</v>
      </c>
      <c r="G2" s="10">
        <v>0.1822</v>
      </c>
      <c r="H2" s="11">
        <f>AVERAGE(E2:G2)</f>
        <v>0.18216666666666667</v>
      </c>
      <c r="I2" s="11">
        <f>STDEV(E2:G2)</f>
        <v>5.7735026918956222E-5</v>
      </c>
      <c r="J2" s="12">
        <f>I2/H2</f>
        <v>3.1693518894212016E-4</v>
      </c>
      <c r="K2" s="12"/>
      <c r="L2" s="10">
        <v>0.18290000000000001</v>
      </c>
      <c r="M2" s="10">
        <v>0.183</v>
      </c>
      <c r="N2" s="10">
        <v>0.183</v>
      </c>
      <c r="O2" s="11">
        <f>AVERAGE(L2:N2)</f>
        <v>0.18296666666666664</v>
      </c>
      <c r="P2" s="13">
        <f>STDEV(L2:N2)</f>
        <v>5.7735026918956215E-5</v>
      </c>
      <c r="Q2" s="12">
        <f>P2/O2</f>
        <v>3.1554942750385988E-4</v>
      </c>
      <c r="S2" s="14">
        <f t="shared" ref="S2:S34" si="0">(O2-H2)</f>
        <v>7.999999999999674E-4</v>
      </c>
      <c r="T2" s="15">
        <f t="shared" ref="T2:T34" si="1">(O2-H2)*1000</f>
        <v>0.7999999999999674</v>
      </c>
      <c r="U2" s="16">
        <f t="shared" ref="U2:U10" si="2">I2*1000</f>
        <v>5.7735026918956225E-2</v>
      </c>
      <c r="V2" s="16"/>
      <c r="W2" s="16"/>
      <c r="X2" s="16"/>
      <c r="Y2" s="16"/>
      <c r="Z2" s="16"/>
      <c r="AA2" s="17">
        <v>2.0055999999999998</v>
      </c>
      <c r="AB2" s="17">
        <v>0.11799999999999999</v>
      </c>
      <c r="AC2" s="17">
        <v>0.50639999999999996</v>
      </c>
      <c r="AH2" s="18">
        <v>1.059E+16</v>
      </c>
      <c r="AI2" s="18">
        <v>1.111E+16</v>
      </c>
      <c r="AJ2" s="18">
        <v>1.048E+16</v>
      </c>
      <c r="AK2" s="19">
        <f>AVERAGE(AH2:AJ2)</f>
        <v>1.0726666666666666E+16</v>
      </c>
      <c r="AL2" s="20">
        <f>STDEV(AH2:AJ2)</f>
        <v>336501609703926</v>
      </c>
      <c r="AM2" s="12">
        <f>AL2/AK2</f>
        <v>3.1370566473330579E-2</v>
      </c>
      <c r="AN2" s="19">
        <f t="shared" ref="AN2:AO6" si="3">AK2/T2</f>
        <v>1.3408333333333878E+16</v>
      </c>
      <c r="AO2" s="18">
        <f t="shared" si="3"/>
        <v>5828378848359763</v>
      </c>
      <c r="AP2" s="18"/>
      <c r="AQ2" s="21"/>
      <c r="AR2" s="10">
        <v>-180</v>
      </c>
    </row>
    <row r="3" spans="1:49" hidden="1" x14ac:dyDescent="0.2">
      <c r="A3" s="10">
        <v>2</v>
      </c>
      <c r="B3" s="10" t="s">
        <v>29</v>
      </c>
      <c r="C3" s="10" t="s">
        <v>26</v>
      </c>
      <c r="E3" s="10">
        <v>0.18559999999999999</v>
      </c>
      <c r="F3" s="10">
        <v>0.18579999999999999</v>
      </c>
      <c r="G3" s="10">
        <v>0.18579999999999999</v>
      </c>
      <c r="H3" s="11">
        <f t="shared" ref="H3:H34" si="4">AVERAGE(E3:G3)</f>
        <v>0.18573333333333331</v>
      </c>
      <c r="I3" s="11">
        <f t="shared" ref="I3:I27" si="5">STDEV(E3:G3)</f>
        <v>1.1547005383792846E-4</v>
      </c>
      <c r="J3" s="12">
        <f t="shared" ref="J3:J27" si="6">I3/H3</f>
        <v>6.2169806445402985E-4</v>
      </c>
      <c r="K3" s="12"/>
      <c r="L3" s="10">
        <v>0.1867</v>
      </c>
      <c r="M3" s="10">
        <v>0.1867</v>
      </c>
      <c r="N3" s="10">
        <v>0.1867</v>
      </c>
      <c r="O3" s="11">
        <f t="shared" ref="O3:O10" si="7">AVERAGE(L3:N3)</f>
        <v>0.1867</v>
      </c>
      <c r="P3" s="13">
        <f t="shared" ref="P3:P10" si="8">STDEV(L3:N3)</f>
        <v>0</v>
      </c>
      <c r="Q3" s="12">
        <f t="shared" ref="Q3:Q10" si="9">P3/O3</f>
        <v>0</v>
      </c>
      <c r="S3" s="14">
        <f t="shared" si="0"/>
        <v>9.6666666666669898E-4</v>
      </c>
      <c r="T3" s="15">
        <f t="shared" si="1"/>
        <v>0.96666666666669898</v>
      </c>
      <c r="U3" s="16">
        <f t="shared" si="2"/>
        <v>0.11547005383792847</v>
      </c>
      <c r="V3" s="16"/>
      <c r="W3" s="16"/>
      <c r="X3" s="16"/>
      <c r="Y3" s="16"/>
      <c r="Z3" s="16"/>
      <c r="AA3" s="17">
        <v>2.0055000000000001</v>
      </c>
      <c r="AB3" s="17">
        <v>0.12330000000000001</v>
      </c>
      <c r="AC3" s="17">
        <v>0.50539999999999996</v>
      </c>
      <c r="AH3" s="18">
        <v>1.206E+16</v>
      </c>
      <c r="AI3" s="18">
        <v>1.2E+16</v>
      </c>
      <c r="AJ3" s="18">
        <v>1.206E+16</v>
      </c>
      <c r="AK3" s="19">
        <f>AVERAGE(AH3:AJ3)</f>
        <v>1.204E+16</v>
      </c>
      <c r="AL3" s="20">
        <f t="shared" ref="AL3:AL10" si="10">STDEV(AH3:AJ3)</f>
        <v>34641016151377.547</v>
      </c>
      <c r="AM3" s="12">
        <f t="shared" ref="AM3:AM10" si="11">AL3/AK3</f>
        <v>2.8771608099150787E-3</v>
      </c>
      <c r="AN3" s="19">
        <f t="shared" si="3"/>
        <v>1.2455172413792688E+16</v>
      </c>
      <c r="AO3" s="18">
        <f t="shared" si="3"/>
        <v>299999999999991.38</v>
      </c>
      <c r="AP3" s="18"/>
      <c r="AQ3" s="22">
        <f t="shared" ref="AQ3:AQ10" si="12">(AN3-AN2)/AN3</f>
        <v>-7.6527316352977381E-2</v>
      </c>
      <c r="AR3" s="10">
        <v>-120</v>
      </c>
    </row>
    <row r="4" spans="1:49" hidden="1" x14ac:dyDescent="0.2">
      <c r="A4" s="10">
        <v>3</v>
      </c>
      <c r="B4" s="10" t="s">
        <v>36</v>
      </c>
      <c r="C4" s="10" t="s">
        <v>27</v>
      </c>
      <c r="E4" s="10">
        <v>0.18360000000000001</v>
      </c>
      <c r="F4" s="10">
        <v>0.1837</v>
      </c>
      <c r="G4" s="10">
        <v>0.18360000000000001</v>
      </c>
      <c r="H4" s="11">
        <f t="shared" si="4"/>
        <v>0.18363333333333334</v>
      </c>
      <c r="I4" s="11">
        <f t="shared" si="5"/>
        <v>5.7735026918956222E-5</v>
      </c>
      <c r="J4" s="12">
        <f t="shared" si="6"/>
        <v>3.1440384962219762E-4</v>
      </c>
      <c r="K4" s="12"/>
      <c r="L4" s="10">
        <v>0.18479999999999999</v>
      </c>
      <c r="M4" s="10">
        <v>0.1847</v>
      </c>
      <c r="N4" s="10">
        <v>0.1847</v>
      </c>
      <c r="O4" s="11">
        <f t="shared" si="7"/>
        <v>0.18473333333333333</v>
      </c>
      <c r="P4" s="13">
        <f t="shared" si="8"/>
        <v>5.7735026918956222E-5</v>
      </c>
      <c r="Q4" s="12">
        <f t="shared" si="9"/>
        <v>3.1253172276591245E-4</v>
      </c>
      <c r="S4" s="14">
        <f t="shared" si="0"/>
        <v>1.0999999999999899E-3</v>
      </c>
      <c r="T4" s="15">
        <f t="shared" si="1"/>
        <v>1.0999999999999899</v>
      </c>
      <c r="U4" s="16">
        <f t="shared" si="2"/>
        <v>5.7735026918956225E-2</v>
      </c>
      <c r="V4" s="16"/>
      <c r="W4" s="16"/>
      <c r="X4" s="16"/>
      <c r="Y4" s="16"/>
      <c r="Z4" s="16"/>
      <c r="AA4" s="17">
        <v>2.0055999999999998</v>
      </c>
      <c r="AB4" s="17">
        <v>0.16719999999999999</v>
      </c>
      <c r="AC4" s="17">
        <v>0.50609999999999999</v>
      </c>
      <c r="AH4" s="18">
        <v>1.116E+16</v>
      </c>
      <c r="AI4" s="18">
        <v>1.107E+16</v>
      </c>
      <c r="AJ4" s="18">
        <v>1.114E+16</v>
      </c>
      <c r="AK4" s="19">
        <f t="shared" ref="AK4:AK19" si="13">AVERAGE(AH4:AJ4)</f>
        <v>1.1123333333333334E+16</v>
      </c>
      <c r="AL4" s="20">
        <f t="shared" si="10"/>
        <v>47258156262526.086</v>
      </c>
      <c r="AM4" s="12">
        <f t="shared" si="11"/>
        <v>4.2485606469157399E-3</v>
      </c>
      <c r="AN4" s="19">
        <f t="shared" si="3"/>
        <v>1.0112121212121306E+16</v>
      </c>
      <c r="AO4" s="18">
        <f t="shared" si="3"/>
        <v>818535277187335.12</v>
      </c>
      <c r="AP4" s="18"/>
      <c r="AQ4" s="22">
        <f t="shared" si="12"/>
        <v>-0.23170719105530382</v>
      </c>
      <c r="AR4" s="10">
        <v>-60</v>
      </c>
    </row>
    <row r="5" spans="1:49" hidden="1" x14ac:dyDescent="0.2">
      <c r="A5" s="10">
        <v>4</v>
      </c>
      <c r="B5" s="10" t="s">
        <v>30</v>
      </c>
      <c r="C5" s="10" t="s">
        <v>18</v>
      </c>
      <c r="E5" s="10">
        <v>0.18559999999999999</v>
      </c>
      <c r="F5" s="10">
        <v>0.1857</v>
      </c>
      <c r="G5" s="10">
        <v>0.1857</v>
      </c>
      <c r="H5" s="11">
        <f t="shared" si="4"/>
        <v>0.18566666666666665</v>
      </c>
      <c r="I5" s="11">
        <f t="shared" si="5"/>
        <v>5.7735026918972241E-5</v>
      </c>
      <c r="J5" s="12">
        <f t="shared" si="6"/>
        <v>3.1096064767848608E-4</v>
      </c>
      <c r="K5" s="12"/>
      <c r="L5" s="10">
        <v>0.18609999999999999</v>
      </c>
      <c r="M5" s="10" t="s">
        <v>24</v>
      </c>
      <c r="N5" s="10" t="s">
        <v>24</v>
      </c>
      <c r="O5" s="10">
        <f t="shared" si="7"/>
        <v>0.18609999999999999</v>
      </c>
      <c r="P5" s="10" t="e">
        <f t="shared" si="8"/>
        <v>#DIV/0!</v>
      </c>
      <c r="Q5" s="12" t="e">
        <f t="shared" si="9"/>
        <v>#DIV/0!</v>
      </c>
      <c r="S5" s="14">
        <f t="shared" si="0"/>
        <v>4.3333333333334112E-4</v>
      </c>
      <c r="T5" s="15">
        <f t="shared" si="1"/>
        <v>0.43333333333334112</v>
      </c>
      <c r="U5" s="16">
        <f t="shared" si="2"/>
        <v>5.773502691897224E-2</v>
      </c>
      <c r="V5" s="23"/>
      <c r="W5" s="23"/>
      <c r="X5" s="23"/>
      <c r="Y5" s="23"/>
      <c r="Z5" s="23"/>
      <c r="AA5" s="17">
        <v>2.0055000000000001</v>
      </c>
      <c r="AB5" s="17">
        <v>0.18559999999999999</v>
      </c>
      <c r="AC5" s="17">
        <v>0.49519999999999997</v>
      </c>
      <c r="AH5" s="18">
        <v>1.03E+16</v>
      </c>
      <c r="AI5" s="18">
        <v>1.032E+16</v>
      </c>
      <c r="AJ5" s="18">
        <v>1.026E+16</v>
      </c>
      <c r="AK5" s="19">
        <f t="shared" si="13"/>
        <v>1.0293333333333334E+16</v>
      </c>
      <c r="AL5" s="20">
        <f t="shared" si="10"/>
        <v>30550504633038.934</v>
      </c>
      <c r="AM5" s="12">
        <f t="shared" si="11"/>
        <v>2.9679894397382383E-3</v>
      </c>
      <c r="AN5" s="19">
        <f t="shared" si="3"/>
        <v>2.3753846153845728E+16</v>
      </c>
      <c r="AO5" s="18">
        <f t="shared" si="3"/>
        <v>529150262212829.56</v>
      </c>
      <c r="AP5" s="18"/>
      <c r="AQ5" s="22">
        <f t="shared" si="12"/>
        <v>0.57429541529281303</v>
      </c>
      <c r="AR5" s="10">
        <v>0</v>
      </c>
    </row>
    <row r="6" spans="1:49" hidden="1" x14ac:dyDescent="0.2">
      <c r="A6" s="10">
        <v>5</v>
      </c>
      <c r="B6" s="10" t="s">
        <v>31</v>
      </c>
      <c r="C6" s="10" t="s">
        <v>19</v>
      </c>
      <c r="E6" s="10">
        <v>0.1827</v>
      </c>
      <c r="F6" s="10">
        <v>0.18279999999999999</v>
      </c>
      <c r="G6" s="10">
        <v>0.1827</v>
      </c>
      <c r="H6" s="11">
        <f t="shared" si="4"/>
        <v>0.18273333333333333</v>
      </c>
      <c r="I6" s="11">
        <f t="shared" si="5"/>
        <v>5.7735026918956222E-5</v>
      </c>
      <c r="J6" s="12">
        <f t="shared" si="6"/>
        <v>3.1595235453642587E-4</v>
      </c>
      <c r="K6" s="12"/>
      <c r="L6" s="10">
        <v>0.18310000000000001</v>
      </c>
      <c r="M6" s="10">
        <v>0.18310000000000001</v>
      </c>
      <c r="N6" s="10">
        <v>0.18310000000000001</v>
      </c>
      <c r="O6" s="10">
        <f t="shared" si="7"/>
        <v>0.18310000000000001</v>
      </c>
      <c r="P6" s="10">
        <f t="shared" si="8"/>
        <v>0</v>
      </c>
      <c r="Q6" s="12">
        <f t="shared" si="9"/>
        <v>0</v>
      </c>
      <c r="S6" s="14">
        <f t="shared" si="0"/>
        <v>3.666666666666818E-4</v>
      </c>
      <c r="T6" s="15">
        <f t="shared" si="1"/>
        <v>0.3666666666666818</v>
      </c>
      <c r="U6" s="16">
        <f t="shared" si="2"/>
        <v>5.7735026918956225E-2</v>
      </c>
      <c r="V6" s="23"/>
      <c r="W6" s="23"/>
      <c r="X6" s="23"/>
      <c r="Y6" s="23"/>
      <c r="Z6" s="23"/>
      <c r="AA6" s="17">
        <v>2.0055000000000001</v>
      </c>
      <c r="AB6" s="17">
        <v>0.1661</v>
      </c>
      <c r="AC6" s="17">
        <v>0.50960000000000005</v>
      </c>
      <c r="AH6" s="18">
        <v>1.128E+16</v>
      </c>
      <c r="AI6" s="18">
        <v>1.152E+16</v>
      </c>
      <c r="AJ6" s="18">
        <v>1.152E+16</v>
      </c>
      <c r="AK6" s="19">
        <f t="shared" si="13"/>
        <v>1.144E+16</v>
      </c>
      <c r="AL6" s="20">
        <f t="shared" si="10"/>
        <v>138564064605510.19</v>
      </c>
      <c r="AM6" s="12">
        <f t="shared" si="11"/>
        <v>1.2112243409572569E-2</v>
      </c>
      <c r="AN6" s="19">
        <f t="shared" si="3"/>
        <v>3.1199999999998712E+16</v>
      </c>
      <c r="AO6" s="18">
        <f t="shared" si="3"/>
        <v>2400000000000264</v>
      </c>
      <c r="AP6" s="18"/>
      <c r="AQ6" s="22">
        <f t="shared" si="12"/>
        <v>0.23865877712029779</v>
      </c>
      <c r="AR6" s="10">
        <v>60</v>
      </c>
    </row>
    <row r="7" spans="1:49" hidden="1" x14ac:dyDescent="0.2">
      <c r="A7" s="10">
        <v>6</v>
      </c>
      <c r="B7" s="10" t="s">
        <v>32</v>
      </c>
      <c r="C7" s="10" t="s">
        <v>20</v>
      </c>
      <c r="E7" s="10">
        <v>0.18729999999999999</v>
      </c>
      <c r="F7" s="10">
        <v>0.18729999999999999</v>
      </c>
      <c r="G7" s="10">
        <v>0.18729999999999999</v>
      </c>
      <c r="H7" s="11">
        <f t="shared" si="4"/>
        <v>0.18729999999999999</v>
      </c>
      <c r="I7" s="11">
        <f t="shared" si="5"/>
        <v>0</v>
      </c>
      <c r="J7" s="12">
        <f t="shared" si="6"/>
        <v>0</v>
      </c>
      <c r="K7" s="12"/>
      <c r="L7" s="10">
        <v>0.18820000000000001</v>
      </c>
      <c r="M7" s="10">
        <v>0.188</v>
      </c>
      <c r="N7" s="10">
        <v>0.18809999999999999</v>
      </c>
      <c r="O7" s="10">
        <f t="shared" si="7"/>
        <v>0.18810000000000002</v>
      </c>
      <c r="P7" s="10">
        <f t="shared" si="8"/>
        <v>1.0000000000000286E-4</v>
      </c>
      <c r="Q7" s="12">
        <f t="shared" si="9"/>
        <v>5.3163211057949422E-4</v>
      </c>
      <c r="S7" s="14">
        <f t="shared" si="0"/>
        <v>8.0000000000002292E-4</v>
      </c>
      <c r="T7" s="15">
        <f t="shared" si="1"/>
        <v>0.80000000000002292</v>
      </c>
      <c r="U7" s="16">
        <f t="shared" si="2"/>
        <v>0</v>
      </c>
      <c r="V7" s="23"/>
      <c r="W7" s="23"/>
      <c r="X7" s="23"/>
      <c r="Y7" s="23"/>
      <c r="Z7" s="23"/>
      <c r="AA7" s="17">
        <v>2.0055000000000001</v>
      </c>
      <c r="AB7" s="17">
        <v>0.17019999999999999</v>
      </c>
      <c r="AC7" s="17">
        <v>0.51119999999999999</v>
      </c>
      <c r="AH7" s="18">
        <v>2.076E+16</v>
      </c>
      <c r="AI7" s="18">
        <v>2.086E+16</v>
      </c>
      <c r="AJ7" s="18">
        <v>2.08E+16</v>
      </c>
      <c r="AK7" s="19">
        <f t="shared" si="13"/>
        <v>2.0806666666666668E+16</v>
      </c>
      <c r="AL7" s="20">
        <f t="shared" si="10"/>
        <v>50332229568471.664</v>
      </c>
      <c r="AM7" s="12">
        <f t="shared" si="11"/>
        <v>2.4190433948320248E-3</v>
      </c>
      <c r="AN7" s="19">
        <f t="shared" ref="AN7:AN34" si="14">AK7/T7</f>
        <v>2.6008333333332592E+16</v>
      </c>
      <c r="AO7" s="18">
        <f>AL7/U6</f>
        <v>871779788708230.62</v>
      </c>
      <c r="AP7" s="18"/>
      <c r="AQ7" s="22">
        <f t="shared" si="12"/>
        <v>-0.19961550785003274</v>
      </c>
      <c r="AR7" s="10">
        <v>120</v>
      </c>
    </row>
    <row r="8" spans="1:49" hidden="1" x14ac:dyDescent="0.2">
      <c r="A8" s="10">
        <v>7</v>
      </c>
      <c r="B8" s="10" t="s">
        <v>33</v>
      </c>
      <c r="C8" s="10" t="s">
        <v>21</v>
      </c>
      <c r="E8" s="10">
        <v>0.18440000000000001</v>
      </c>
      <c r="F8" s="10">
        <v>0.18429999999999999</v>
      </c>
      <c r="G8" s="10">
        <v>0.18440000000000001</v>
      </c>
      <c r="H8" s="11">
        <f t="shared" si="4"/>
        <v>0.18436666666666668</v>
      </c>
      <c r="I8" s="11">
        <f t="shared" si="5"/>
        <v>5.7735026918972248E-5</v>
      </c>
      <c r="J8" s="12">
        <f t="shared" si="6"/>
        <v>3.1315328287274767E-4</v>
      </c>
      <c r="K8" s="12"/>
      <c r="L8" s="10">
        <v>0.18479999999999999</v>
      </c>
      <c r="M8" s="10">
        <v>0.1847</v>
      </c>
      <c r="N8" s="10">
        <v>0.1847</v>
      </c>
      <c r="O8" s="10">
        <f t="shared" si="7"/>
        <v>0.18473333333333333</v>
      </c>
      <c r="P8" s="10">
        <f t="shared" si="8"/>
        <v>5.7735026918956222E-5</v>
      </c>
      <c r="Q8" s="12">
        <f t="shared" si="9"/>
        <v>3.1253172276591245E-4</v>
      </c>
      <c r="S8" s="14">
        <f t="shared" si="0"/>
        <v>3.6666666666665404E-4</v>
      </c>
      <c r="T8" s="15">
        <f t="shared" si="1"/>
        <v>0.36666666666665404</v>
      </c>
      <c r="U8" s="16">
        <f t="shared" si="2"/>
        <v>5.7735026918972247E-2</v>
      </c>
      <c r="AA8" s="17">
        <v>2.0055000000000001</v>
      </c>
      <c r="AB8" s="17">
        <v>0.17910000000000001</v>
      </c>
      <c r="AC8" s="17">
        <v>0.50539999999999996</v>
      </c>
      <c r="AH8" s="18">
        <v>1.428E+16</v>
      </c>
      <c r="AI8" s="18">
        <v>1.442E+16</v>
      </c>
      <c r="AJ8" s="18">
        <v>1.435E+16</v>
      </c>
      <c r="AK8" s="19">
        <f t="shared" si="13"/>
        <v>1.435E+16</v>
      </c>
      <c r="AL8" s="20">
        <f t="shared" si="10"/>
        <v>70000000000000</v>
      </c>
      <c r="AM8" s="12">
        <f t="shared" si="11"/>
        <v>4.8780487804878049E-3</v>
      </c>
      <c r="AN8" s="19">
        <f t="shared" si="14"/>
        <v>3.9136363636364984E+16</v>
      </c>
      <c r="AO8" s="18">
        <f t="shared" ref="AO8:AO34" si="15">AL8/U8</f>
        <v>1212435565298011</v>
      </c>
      <c r="AP8" s="18"/>
      <c r="AQ8" s="22">
        <f>(AN8-AN7)/AN8</f>
        <v>0.33544328300430043</v>
      </c>
      <c r="AR8" s="10">
        <v>180</v>
      </c>
    </row>
    <row r="9" spans="1:49" hidden="1" x14ac:dyDescent="0.2">
      <c r="A9" s="10">
        <v>8</v>
      </c>
      <c r="B9" s="10" t="s">
        <v>34</v>
      </c>
      <c r="C9" s="10" t="s">
        <v>22</v>
      </c>
      <c r="E9" s="10">
        <v>0.184</v>
      </c>
      <c r="F9" s="10">
        <v>0.18379999999999999</v>
      </c>
      <c r="G9" s="10">
        <v>0.18390000000000001</v>
      </c>
      <c r="H9" s="11">
        <f t="shared" si="4"/>
        <v>0.18390000000000004</v>
      </c>
      <c r="I9" s="24">
        <f t="shared" si="5"/>
        <v>1.0000000000000286E-4</v>
      </c>
      <c r="J9" s="12">
        <f t="shared" si="6"/>
        <v>5.4377379010333248E-4</v>
      </c>
      <c r="K9" s="12"/>
      <c r="L9" s="10">
        <v>0.18440000000000001</v>
      </c>
      <c r="M9" s="10">
        <v>0.1845</v>
      </c>
      <c r="N9" s="10">
        <v>0.18429999999999999</v>
      </c>
      <c r="O9" s="10">
        <f t="shared" si="7"/>
        <v>0.18440000000000001</v>
      </c>
      <c r="P9" s="10">
        <f t="shared" si="8"/>
        <v>1.0000000000000286E-4</v>
      </c>
      <c r="Q9" s="12">
        <f t="shared" si="9"/>
        <v>5.4229934924079643E-4</v>
      </c>
      <c r="S9" s="14">
        <f t="shared" si="0"/>
        <v>4.9999999999997269E-4</v>
      </c>
      <c r="T9" s="15">
        <f t="shared" si="1"/>
        <v>0.49999999999997269</v>
      </c>
      <c r="U9" s="16">
        <f t="shared" si="2"/>
        <v>0.10000000000000286</v>
      </c>
      <c r="AA9" s="17">
        <v>2.0055000000000001</v>
      </c>
      <c r="AB9" s="17">
        <v>0.17050000000000001</v>
      </c>
      <c r="AC9" s="17">
        <v>0.50980000000000003</v>
      </c>
      <c r="AH9" s="18">
        <v>1.267E+16</v>
      </c>
      <c r="AI9" s="18">
        <v>1.263E+16</v>
      </c>
      <c r="AJ9" s="18">
        <v>1.264E+16</v>
      </c>
      <c r="AK9" s="19">
        <f t="shared" si="13"/>
        <v>1.2646666666666666E+16</v>
      </c>
      <c r="AL9" s="20">
        <f t="shared" si="10"/>
        <v>20816659994661.328</v>
      </c>
      <c r="AM9" s="12">
        <f t="shared" si="11"/>
        <v>1.6460195040586185E-3</v>
      </c>
      <c r="AN9" s="19">
        <f t="shared" si="14"/>
        <v>2.5293333333334712E+16</v>
      </c>
      <c r="AO9" s="18">
        <f t="shared" si="15"/>
        <v>208166599946607.31</v>
      </c>
      <c r="AP9" s="18"/>
      <c r="AQ9" s="22">
        <f t="shared" si="12"/>
        <v>-0.54729956390469892</v>
      </c>
      <c r="AR9" s="10">
        <v>240</v>
      </c>
    </row>
    <row r="10" spans="1:49" hidden="1" x14ac:dyDescent="0.2">
      <c r="A10" s="10">
        <v>9</v>
      </c>
      <c r="B10" s="10" t="s">
        <v>35</v>
      </c>
      <c r="C10" s="10" t="s">
        <v>23</v>
      </c>
      <c r="E10" s="10">
        <v>0.1827</v>
      </c>
      <c r="F10" s="10">
        <v>0.18279999999999999</v>
      </c>
      <c r="G10" s="10">
        <v>0.18290000000000001</v>
      </c>
      <c r="H10" s="11">
        <f t="shared" si="4"/>
        <v>0.18279999999999999</v>
      </c>
      <c r="I10" s="24">
        <f t="shared" si="5"/>
        <v>1.0000000000000286E-4</v>
      </c>
      <c r="J10" s="12">
        <f t="shared" si="6"/>
        <v>5.4704595185997194E-4</v>
      </c>
      <c r="K10" s="12"/>
      <c r="L10" s="10">
        <v>0.18329999999999999</v>
      </c>
      <c r="M10" s="10">
        <v>0.18329999999999999</v>
      </c>
      <c r="N10" s="10">
        <v>0.18329999999999999</v>
      </c>
      <c r="O10" s="10">
        <f t="shared" si="7"/>
        <v>0.18329999999999999</v>
      </c>
      <c r="P10" s="10">
        <f t="shared" si="8"/>
        <v>0</v>
      </c>
      <c r="Q10" s="12">
        <f t="shared" si="9"/>
        <v>0</v>
      </c>
      <c r="S10" s="14">
        <f t="shared" si="0"/>
        <v>5.0000000000000044E-4</v>
      </c>
      <c r="T10" s="15">
        <f t="shared" si="1"/>
        <v>0.50000000000000044</v>
      </c>
      <c r="U10" s="16">
        <f t="shared" si="2"/>
        <v>0.10000000000000286</v>
      </c>
      <c r="AA10" s="17">
        <v>2.0053999999999998</v>
      </c>
      <c r="AB10" s="17">
        <v>0.16589999999999999</v>
      </c>
      <c r="AC10" s="17">
        <v>0.51180000000000003</v>
      </c>
      <c r="AH10" s="18">
        <v>1.094E+16</v>
      </c>
      <c r="AI10" s="18">
        <v>1.102E+16</v>
      </c>
      <c r="AJ10" s="18">
        <v>1.09E+16</v>
      </c>
      <c r="AK10" s="19">
        <f t="shared" si="13"/>
        <v>1.0953333333333334E+16</v>
      </c>
      <c r="AL10" s="20">
        <f t="shared" si="10"/>
        <v>61101009266077.867</v>
      </c>
      <c r="AM10" s="12">
        <f t="shared" si="11"/>
        <v>5.5783027327520876E-3</v>
      </c>
      <c r="AN10" s="19">
        <f t="shared" si="14"/>
        <v>2.1906666666666648E+16</v>
      </c>
      <c r="AO10" s="18">
        <f t="shared" si="15"/>
        <v>611010092660761.12</v>
      </c>
      <c r="AP10" s="18"/>
      <c r="AQ10" s="22">
        <f t="shared" si="12"/>
        <v>-0.15459525258679552</v>
      </c>
      <c r="AR10" s="10">
        <v>300</v>
      </c>
    </row>
    <row r="11" spans="1:49" hidden="1" x14ac:dyDescent="0.2">
      <c r="A11" s="10">
        <v>10</v>
      </c>
      <c r="B11" s="10" t="s">
        <v>37</v>
      </c>
      <c r="C11" s="10" t="s">
        <v>42</v>
      </c>
      <c r="E11" s="10">
        <v>0.18190000000000001</v>
      </c>
      <c r="F11" s="10">
        <v>0.1822</v>
      </c>
      <c r="G11" s="10">
        <v>0.1822</v>
      </c>
      <c r="H11" s="25">
        <f t="shared" si="4"/>
        <v>0.18210000000000001</v>
      </c>
      <c r="I11" s="11">
        <f t="shared" si="5"/>
        <v>1.7320508075688469E-4</v>
      </c>
      <c r="J11" s="12">
        <f t="shared" si="6"/>
        <v>9.5115365599607185E-4</v>
      </c>
      <c r="L11" s="10">
        <v>0.18290000000000001</v>
      </c>
      <c r="M11" s="10">
        <v>0.18290000000000001</v>
      </c>
      <c r="N11" s="10">
        <v>0.18279999999999999</v>
      </c>
      <c r="O11" s="10">
        <f t="shared" ref="O11:O34" si="16">AVERAGE(L11:N11)</f>
        <v>0.18286666666666665</v>
      </c>
      <c r="P11" s="11">
        <f t="shared" ref="P11:P34" si="17">STDEV(L11:N11)</f>
        <v>5.7735026918972241E-5</v>
      </c>
      <c r="Q11" s="12">
        <f t="shared" ref="Q11:Q34" si="18">P11/O11</f>
        <v>3.1572198460976436E-4</v>
      </c>
      <c r="S11" s="14">
        <f t="shared" si="0"/>
        <v>7.6666666666663774E-4</v>
      </c>
      <c r="T11" s="15">
        <f t="shared" si="1"/>
        <v>0.76666666666663774</v>
      </c>
      <c r="U11" s="16">
        <f t="shared" ref="U11:U34" si="19">IF(I11&gt;P11,I11*1000,P11*1000)</f>
        <v>0.17320508075688471</v>
      </c>
      <c r="Y11" s="10">
        <v>8</v>
      </c>
      <c r="AA11" s="10">
        <v>2.0078</v>
      </c>
      <c r="AB11" s="10">
        <v>0.1195</v>
      </c>
      <c r="AC11" s="10">
        <v>0.52129999999999999</v>
      </c>
      <c r="AE11" s="10">
        <f>AVERAGE(3418,3418,3418)</f>
        <v>3418</v>
      </c>
      <c r="AF11" s="10">
        <f>AVERAGE(3473,3473,3473)</f>
        <v>3473</v>
      </c>
      <c r="AG11" s="16">
        <f>AF11-AE11</f>
        <v>55</v>
      </c>
      <c r="AH11" s="18">
        <v>2.241E+16</v>
      </c>
      <c r="AI11" s="18">
        <v>2.239E+16</v>
      </c>
      <c r="AJ11" s="18">
        <v>2.243E+16</v>
      </c>
      <c r="AK11" s="19">
        <f t="shared" si="13"/>
        <v>2.241E+16</v>
      </c>
      <c r="AL11" s="20">
        <f>STDEV(AH11:AJ11)</f>
        <v>20000000000000</v>
      </c>
      <c r="AM11" s="12">
        <f>AL11/AK11</f>
        <v>8.9245872378402495E-4</v>
      </c>
      <c r="AN11" s="19">
        <f t="shared" si="14"/>
        <v>2.92304347826098E+16</v>
      </c>
      <c r="AO11" s="18">
        <f t="shared" si="15"/>
        <v>115470053837927.17</v>
      </c>
      <c r="AP11" s="25">
        <f>AO11/AN11</f>
        <v>3.950336513866168E-3</v>
      </c>
      <c r="AQ11" s="22"/>
    </row>
    <row r="12" spans="1:49" hidden="1" x14ac:dyDescent="0.2">
      <c r="A12" s="10">
        <v>11</v>
      </c>
      <c r="B12" s="10" t="s">
        <v>38</v>
      </c>
      <c r="C12" s="10" t="s">
        <v>43</v>
      </c>
      <c r="E12" s="10">
        <v>0.182</v>
      </c>
      <c r="F12" s="10">
        <v>0.18210000000000001</v>
      </c>
      <c r="G12" s="10">
        <v>0.182</v>
      </c>
      <c r="H12" s="11">
        <f t="shared" si="4"/>
        <v>0.18203333333333335</v>
      </c>
      <c r="I12" s="11">
        <f t="shared" si="5"/>
        <v>5.7735026918972241E-5</v>
      </c>
      <c r="J12" s="12">
        <f t="shared" si="6"/>
        <v>3.1716733337651843E-4</v>
      </c>
      <c r="L12" s="10">
        <v>0.1827</v>
      </c>
      <c r="M12" s="10">
        <v>0.1827</v>
      </c>
      <c r="N12" s="10">
        <v>0.18290000000000001</v>
      </c>
      <c r="O12" s="10">
        <f t="shared" si="16"/>
        <v>0.18276666666666666</v>
      </c>
      <c r="P12" s="11">
        <f t="shared" si="17"/>
        <v>1.1547005383792846E-4</v>
      </c>
      <c r="Q12" s="12">
        <f t="shared" si="18"/>
        <v>6.3178946108660477E-4</v>
      </c>
      <c r="S12" s="14">
        <f t="shared" si="0"/>
        <v>7.3333333333330808E-4</v>
      </c>
      <c r="T12" s="15">
        <f t="shared" si="1"/>
        <v>0.73333333333330808</v>
      </c>
      <c r="U12" s="16">
        <f t="shared" si="19"/>
        <v>0.11547005383792847</v>
      </c>
      <c r="Y12" s="10">
        <v>8</v>
      </c>
      <c r="AA12" s="10">
        <v>2.0078</v>
      </c>
      <c r="AB12" s="10">
        <v>0.1074</v>
      </c>
      <c r="AC12" s="11">
        <v>0.52500000000000002</v>
      </c>
      <c r="AE12" s="26">
        <f>AVERAGE(3416,3416,3412)</f>
        <v>3414.6666666666665</v>
      </c>
      <c r="AF12" s="26">
        <f>AVERAGE(3476,3481,3481)</f>
        <v>3479.3333333333335</v>
      </c>
      <c r="AG12" s="16">
        <f t="shared" ref="AG12:AG13" si="20">AF12-AE12</f>
        <v>64.66666666666697</v>
      </c>
      <c r="AH12" s="18">
        <v>2.263E+16</v>
      </c>
      <c r="AI12" s="18">
        <v>2.314E+16</v>
      </c>
      <c r="AJ12" s="18">
        <v>2.337E+16</v>
      </c>
      <c r="AK12" s="19">
        <f t="shared" si="13"/>
        <v>2.3046666666666668E+16</v>
      </c>
      <c r="AL12" s="20">
        <f t="shared" ref="AL12:AL19" si="21">STDEV(AH12:AJ12)</f>
        <v>378725934328946.31</v>
      </c>
      <c r="AM12" s="12">
        <f t="shared" ref="AM12:AM19" si="22">AL12/AK12</f>
        <v>1.6433002646613234E-2</v>
      </c>
      <c r="AN12" s="19">
        <f t="shared" si="14"/>
        <v>3.1427272727273812E+16</v>
      </c>
      <c r="AO12" s="18">
        <f t="shared" si="15"/>
        <v>3279862802008551</v>
      </c>
      <c r="AP12" s="27">
        <f>AO12/AN12</f>
        <v>0.10436358351776921</v>
      </c>
      <c r="AQ12" s="22">
        <f>STDEV(AN11:AN13)/AVERAGE(AN11:AN13)</f>
        <v>6.2627628213339462E-2</v>
      </c>
    </row>
    <row r="13" spans="1:49" hidden="1" x14ac:dyDescent="0.2">
      <c r="A13" s="10">
        <v>12</v>
      </c>
      <c r="B13" s="10" t="s">
        <v>39</v>
      </c>
      <c r="C13" s="10" t="s">
        <v>44</v>
      </c>
      <c r="E13" s="10">
        <v>0.17829999999999999</v>
      </c>
      <c r="F13" s="10">
        <v>0.1782</v>
      </c>
      <c r="G13" s="10">
        <v>0.1782</v>
      </c>
      <c r="H13" s="11">
        <f t="shared" si="4"/>
        <v>0.17823333333333333</v>
      </c>
      <c r="I13" s="11">
        <f t="shared" si="5"/>
        <v>5.7735026918956222E-5</v>
      </c>
      <c r="J13" s="12">
        <f t="shared" si="6"/>
        <v>3.2392945718509196E-4</v>
      </c>
      <c r="L13" s="10">
        <v>0.1789</v>
      </c>
      <c r="M13" s="10">
        <v>0.17899999999999999</v>
      </c>
      <c r="N13" s="10">
        <v>0.17899999999999999</v>
      </c>
      <c r="O13" s="10">
        <f t="shared" si="16"/>
        <v>0.17896666666666664</v>
      </c>
      <c r="P13" s="11">
        <f t="shared" si="17"/>
        <v>5.7735026918956215E-5</v>
      </c>
      <c r="Q13" s="12">
        <f t="shared" si="18"/>
        <v>3.2260212471012977E-4</v>
      </c>
      <c r="S13" s="14">
        <f t="shared" si="0"/>
        <v>7.3333333333330808E-4</v>
      </c>
      <c r="T13" s="15">
        <f t="shared" si="1"/>
        <v>0.73333333333330808</v>
      </c>
      <c r="U13" s="16">
        <f t="shared" si="19"/>
        <v>5.7735026918956218E-2</v>
      </c>
      <c r="Y13" s="10">
        <v>8</v>
      </c>
      <c r="AA13" s="10">
        <v>2.0078</v>
      </c>
      <c r="AB13" s="10">
        <v>0.1162</v>
      </c>
      <c r="AC13" s="10">
        <v>0.52059999999999995</v>
      </c>
      <c r="AE13" s="10">
        <f>AVERAGE(3413,3413,3413)</f>
        <v>3413</v>
      </c>
      <c r="AF13" s="26">
        <f>AVERAGE(3481,3480,3480)</f>
        <v>3480.3333333333335</v>
      </c>
      <c r="AG13" s="16">
        <f t="shared" si="20"/>
        <v>67.333333333333485</v>
      </c>
      <c r="AH13" s="18">
        <v>2.442E+16</v>
      </c>
      <c r="AI13" s="18">
        <v>2.426E+16</v>
      </c>
      <c r="AJ13" s="18">
        <v>2.422E+16</v>
      </c>
      <c r="AK13" s="19">
        <f t="shared" si="13"/>
        <v>2.43E+16</v>
      </c>
      <c r="AL13" s="20">
        <f t="shared" si="21"/>
        <v>105830052442583.62</v>
      </c>
      <c r="AM13" s="12">
        <f t="shared" si="22"/>
        <v>4.3551461910528244E-3</v>
      </c>
      <c r="AN13" s="19">
        <f t="shared" si="14"/>
        <v>3.3136363636364776E+16</v>
      </c>
      <c r="AO13" s="18">
        <f t="shared" si="15"/>
        <v>1833030277982538</v>
      </c>
      <c r="AP13" s="27">
        <f>AO13/AN13</f>
        <v>5.531778616682366E-2</v>
      </c>
      <c r="AQ13" s="22"/>
    </row>
    <row r="14" spans="1:49" x14ac:dyDescent="0.2">
      <c r="A14" s="28">
        <v>13</v>
      </c>
      <c r="B14" s="10" t="s">
        <v>49</v>
      </c>
      <c r="C14" s="10" t="s">
        <v>77</v>
      </c>
      <c r="D14" s="10" t="s">
        <v>76</v>
      </c>
      <c r="E14" s="11">
        <v>0.18410000000000001</v>
      </c>
      <c r="F14" s="11">
        <v>0.18390000000000001</v>
      </c>
      <c r="G14" s="11">
        <v>0.1837</v>
      </c>
      <c r="H14" s="11">
        <f t="shared" si="4"/>
        <v>0.18389999999999998</v>
      </c>
      <c r="I14" s="11">
        <f t="shared" si="5"/>
        <v>2.0000000000000573E-4</v>
      </c>
      <c r="J14" s="12">
        <f t="shared" si="6"/>
        <v>1.0875475802066654E-3</v>
      </c>
      <c r="L14" s="11">
        <v>0.18440000000000001</v>
      </c>
      <c r="M14" s="11">
        <v>0.1842</v>
      </c>
      <c r="N14" s="11">
        <v>0.1842</v>
      </c>
      <c r="O14" s="11">
        <f t="shared" si="16"/>
        <v>0.18426666666666669</v>
      </c>
      <c r="P14" s="11">
        <f t="shared" si="17"/>
        <v>1.1547005383792846E-4</v>
      </c>
      <c r="Q14" s="12">
        <f t="shared" si="18"/>
        <v>6.2664645715228902E-4</v>
      </c>
      <c r="S14" s="14">
        <f t="shared" si="0"/>
        <v>3.6666666666670955E-4</v>
      </c>
      <c r="T14" s="15">
        <f t="shared" si="1"/>
        <v>0.36666666666670955</v>
      </c>
      <c r="U14" s="16">
        <f t="shared" si="19"/>
        <v>0.20000000000000573</v>
      </c>
      <c r="W14" s="10">
        <v>4105</v>
      </c>
      <c r="X14" s="10">
        <v>9.6592599999999997</v>
      </c>
      <c r="Y14" s="10">
        <v>7</v>
      </c>
      <c r="Z14" s="29">
        <f>T14/Y14</f>
        <v>5.2380952380958509E-2</v>
      </c>
      <c r="AA14" s="10">
        <v>2.0057</v>
      </c>
      <c r="AB14" s="10">
        <v>8.1699999999999995E-2</v>
      </c>
      <c r="AC14" s="10">
        <v>0.50660000000000005</v>
      </c>
      <c r="AE14" s="26">
        <f>AVERAGE(3413,3413,3412)</f>
        <v>3412.6666666666665</v>
      </c>
      <c r="AF14" s="26">
        <f>AVERAGE(3480,3479,3480)</f>
        <v>3479.6666666666665</v>
      </c>
      <c r="AG14" s="26">
        <f>AF14-AE14</f>
        <v>67</v>
      </c>
      <c r="AH14" s="18">
        <v>1.186E+16</v>
      </c>
      <c r="AI14" s="18">
        <v>1.184E+16</v>
      </c>
      <c r="AJ14" s="18">
        <v>1.189E+16</v>
      </c>
      <c r="AK14" s="19">
        <f>AVERAGE(AH14:AJ14)</f>
        <v>1.1863333333333334E+16</v>
      </c>
      <c r="AL14" s="20">
        <f>STDEV(AH14:AJ14)</f>
        <v>25166114784235.832</v>
      </c>
      <c r="AM14" s="12">
        <f t="shared" si="22"/>
        <v>2.1213358907757091E-3</v>
      </c>
      <c r="AN14" s="19">
        <f>AK14/T14</f>
        <v>3.2354545454541672E+16</v>
      </c>
      <c r="AO14" s="18">
        <f t="shared" si="15"/>
        <v>125830573921175.56</v>
      </c>
      <c r="AP14" s="25">
        <f>AO14/AN14</f>
        <v>3.8891157997558105E-3</v>
      </c>
      <c r="AQ14" s="22"/>
    </row>
    <row r="15" spans="1:49" x14ac:dyDescent="0.2">
      <c r="A15" s="28">
        <v>14</v>
      </c>
      <c r="B15" s="10" t="s">
        <v>50</v>
      </c>
      <c r="C15" s="10" t="s">
        <v>159</v>
      </c>
      <c r="D15" s="10" t="s">
        <v>76</v>
      </c>
      <c r="E15" s="11">
        <v>0.1835</v>
      </c>
      <c r="F15" s="11">
        <v>0.18340000000000001</v>
      </c>
      <c r="G15" s="11">
        <v>0.18379999999999999</v>
      </c>
      <c r="H15" s="11">
        <f t="shared" si="4"/>
        <v>0.18356666666666666</v>
      </c>
      <c r="I15" s="11">
        <f t="shared" si="5"/>
        <v>2.081665999466059E-4</v>
      </c>
      <c r="J15" s="12">
        <f t="shared" si="6"/>
        <v>1.1340108949333897E-3</v>
      </c>
      <c r="L15" s="11">
        <v>0.184</v>
      </c>
      <c r="M15" s="11">
        <v>0.18410000000000001</v>
      </c>
      <c r="N15" s="11">
        <v>0.18410000000000001</v>
      </c>
      <c r="O15" s="11">
        <f t="shared" si="16"/>
        <v>0.18406666666666668</v>
      </c>
      <c r="P15" s="11">
        <f t="shared" si="17"/>
        <v>5.7735026918972248E-5</v>
      </c>
      <c r="Q15" s="12">
        <f t="shared" si="18"/>
        <v>3.1366367395312697E-4</v>
      </c>
      <c r="S15" s="14">
        <f t="shared" si="0"/>
        <v>5.000000000000282E-4</v>
      </c>
      <c r="T15" s="15">
        <f t="shared" si="1"/>
        <v>0.5000000000000282</v>
      </c>
      <c r="U15" s="16">
        <f t="shared" si="19"/>
        <v>0.20816659994660591</v>
      </c>
      <c r="W15" s="10">
        <v>4104</v>
      </c>
      <c r="X15" s="10">
        <v>9.6579960000000007</v>
      </c>
      <c r="Y15" s="10">
        <v>9</v>
      </c>
      <c r="Z15" s="29">
        <f t="shared" ref="Z15:Z34" si="23">T15/Y15</f>
        <v>5.5555555555558689E-2</v>
      </c>
      <c r="AA15" s="10">
        <v>2.0055000000000001</v>
      </c>
      <c r="AB15" s="10">
        <v>6.6799999999999998E-2</v>
      </c>
      <c r="AC15" s="10">
        <v>0.50460000000000005</v>
      </c>
      <c r="AE15" s="26">
        <f>AVERAGE(3405,3406,3407)</f>
        <v>3406</v>
      </c>
      <c r="AF15" s="26">
        <f>AVERAGE(3483,3484,3483)</f>
        <v>3483.3333333333335</v>
      </c>
      <c r="AG15" s="26">
        <f t="shared" ref="AG15:AG34" si="24">AF15-AE15</f>
        <v>77.333333333333485</v>
      </c>
      <c r="AH15" s="18">
        <v>1.748E+16</v>
      </c>
      <c r="AI15" s="18">
        <v>1.76E+16</v>
      </c>
      <c r="AJ15" s="18">
        <v>1.747E+16</v>
      </c>
      <c r="AK15" s="19">
        <f t="shared" si="13"/>
        <v>1.7516666666666666E+16</v>
      </c>
      <c r="AL15" s="20">
        <f t="shared" si="21"/>
        <v>72341781380702.344</v>
      </c>
      <c r="AM15" s="12">
        <f t="shared" si="22"/>
        <v>4.129882857128583E-3</v>
      </c>
      <c r="AN15" s="19">
        <f t="shared" si="14"/>
        <v>3.5033333333331356E+16</v>
      </c>
      <c r="AO15" s="18">
        <f t="shared" si="15"/>
        <v>347518676863905.12</v>
      </c>
      <c r="AP15" s="25">
        <f t="shared" ref="AP15:AP34" si="25">AO15/AN15</f>
        <v>9.9196577601500871E-3</v>
      </c>
      <c r="AQ15" s="30">
        <f>STDEV(AN14:AN16)/AVERAGE(AN14:AN16)</f>
        <v>0.28702912607220704</v>
      </c>
    </row>
    <row r="16" spans="1:49" x14ac:dyDescent="0.2">
      <c r="A16" s="31">
        <v>15</v>
      </c>
      <c r="B16" s="32" t="s">
        <v>51</v>
      </c>
      <c r="C16" s="32" t="s">
        <v>160</v>
      </c>
      <c r="D16" s="32" t="s">
        <v>76</v>
      </c>
      <c r="E16" s="33">
        <v>0.1862</v>
      </c>
      <c r="F16" s="33">
        <v>0.18559999999999999</v>
      </c>
      <c r="G16" s="33">
        <v>0.186</v>
      </c>
      <c r="H16" s="33">
        <f t="shared" si="4"/>
        <v>0.18593333333333337</v>
      </c>
      <c r="I16" s="33">
        <f t="shared" si="5"/>
        <v>3.0550504633039809E-4</v>
      </c>
      <c r="J16" s="34">
        <f t="shared" si="6"/>
        <v>1.6430891699376015E-3</v>
      </c>
      <c r="K16" s="32"/>
      <c r="L16" s="33">
        <v>0.18690000000000001</v>
      </c>
      <c r="M16" s="33">
        <v>0.18690000000000001</v>
      </c>
      <c r="N16" s="33">
        <v>0.18679999999999999</v>
      </c>
      <c r="O16" s="33">
        <f t="shared" si="16"/>
        <v>0.18686666666666665</v>
      </c>
      <c r="P16" s="33">
        <f t="shared" si="17"/>
        <v>5.7735026918972241E-5</v>
      </c>
      <c r="Q16" s="34">
        <f t="shared" si="18"/>
        <v>3.0896375447184577E-4</v>
      </c>
      <c r="R16" s="32"/>
      <c r="S16" s="35">
        <f t="shared" si="0"/>
        <v>9.3333333333328605E-4</v>
      </c>
      <c r="T16" s="36">
        <f t="shared" si="1"/>
        <v>0.93333333333328605</v>
      </c>
      <c r="U16" s="37">
        <f t="shared" si="19"/>
        <v>0.3055050463303981</v>
      </c>
      <c r="V16" s="32"/>
      <c r="W16" s="32">
        <v>4105</v>
      </c>
      <c r="X16" s="32">
        <v>9.6590570000000007</v>
      </c>
      <c r="Y16" s="32">
        <v>9</v>
      </c>
      <c r="Z16" s="38">
        <f t="shared" si="23"/>
        <v>0.10370370370369845</v>
      </c>
      <c r="AA16" s="32">
        <v>2.0055999999999998</v>
      </c>
      <c r="AB16" s="32">
        <v>9.9000000000000008E-3</v>
      </c>
      <c r="AC16" s="32">
        <v>0.52439999999999998</v>
      </c>
      <c r="AD16" s="32"/>
      <c r="AE16" s="39">
        <f>AVERAGE(3411,3411,3411)</f>
        <v>3411</v>
      </c>
      <c r="AF16" s="39">
        <f>AVERAGE(3475,3483,3479)</f>
        <v>3479</v>
      </c>
      <c r="AG16" s="39">
        <f t="shared" si="24"/>
        <v>68</v>
      </c>
      <c r="AH16" s="40">
        <v>1.765E+16</v>
      </c>
      <c r="AI16" s="40">
        <v>1.859E+16</v>
      </c>
      <c r="AJ16" s="40">
        <v>1.832E+16</v>
      </c>
      <c r="AK16" s="41">
        <f t="shared" si="13"/>
        <v>1.8186666666666668E+16</v>
      </c>
      <c r="AL16" s="42">
        <f t="shared" si="21"/>
        <v>483976583455577.25</v>
      </c>
      <c r="AM16" s="34">
        <f t="shared" si="22"/>
        <v>2.6611615659214289E-2</v>
      </c>
      <c r="AN16" s="41">
        <f t="shared" si="14"/>
        <v>1.9485714285715276E+16</v>
      </c>
      <c r="AO16" s="40">
        <f t="shared" si="15"/>
        <v>1584185234479451</v>
      </c>
      <c r="AP16" s="43">
        <f t="shared" si="25"/>
        <v>8.1299828748941302E-2</v>
      </c>
      <c r="AQ16" s="44"/>
      <c r="AT16" s="45"/>
      <c r="AU16" s="45"/>
      <c r="AV16" s="45"/>
      <c r="AW16" s="45"/>
    </row>
    <row r="17" spans="1:49" x14ac:dyDescent="0.2">
      <c r="A17" s="28">
        <v>16</v>
      </c>
      <c r="B17" s="10" t="s">
        <v>52</v>
      </c>
      <c r="C17" s="10" t="s">
        <v>161</v>
      </c>
      <c r="D17" s="10" t="s">
        <v>80</v>
      </c>
      <c r="E17" s="11">
        <v>0.1832</v>
      </c>
      <c r="F17" s="11">
        <v>0.1832</v>
      </c>
      <c r="G17" s="11">
        <v>0.18310000000000001</v>
      </c>
      <c r="H17" s="11">
        <f t="shared" si="4"/>
        <v>0.18316666666666667</v>
      </c>
      <c r="I17" s="11">
        <f t="shared" si="5"/>
        <v>5.7735026918956222E-5</v>
      </c>
      <c r="J17" s="12">
        <f t="shared" si="6"/>
        <v>3.1520487853843251E-4</v>
      </c>
      <c r="L17" s="11">
        <v>0.1837</v>
      </c>
      <c r="M17" s="11">
        <v>0.1837</v>
      </c>
      <c r="N17" s="11">
        <v>0.1837</v>
      </c>
      <c r="O17" s="11">
        <f t="shared" si="16"/>
        <v>0.1837</v>
      </c>
      <c r="P17" s="11">
        <f t="shared" si="17"/>
        <v>0</v>
      </c>
      <c r="Q17" s="12">
        <f t="shared" si="18"/>
        <v>0</v>
      </c>
      <c r="S17" s="14">
        <f t="shared" si="0"/>
        <v>5.3333333333333011E-4</v>
      </c>
      <c r="T17" s="15">
        <f t="shared" si="1"/>
        <v>0.53333333333333011</v>
      </c>
      <c r="U17" s="16">
        <f t="shared" si="19"/>
        <v>5.7735026918956225E-2</v>
      </c>
      <c r="W17" s="46">
        <v>4105</v>
      </c>
      <c r="X17" s="46">
        <v>9.6590319999999998</v>
      </c>
      <c r="Y17" s="46">
        <v>7</v>
      </c>
      <c r="Z17" s="29">
        <f t="shared" si="23"/>
        <v>7.6190476190475726E-2</v>
      </c>
      <c r="AA17" s="10">
        <v>2.0055000000000001</v>
      </c>
      <c r="AB17" s="10">
        <v>5.2299999999999999E-2</v>
      </c>
      <c r="AC17" s="10">
        <v>0.5232</v>
      </c>
      <c r="AE17" s="47">
        <f>AVERAGE(3411,3411,3411)</f>
        <v>3411</v>
      </c>
      <c r="AF17" s="47">
        <f>AVERAGE(3481,3481,3481)</f>
        <v>3481</v>
      </c>
      <c r="AG17" s="26">
        <f t="shared" si="24"/>
        <v>70</v>
      </c>
      <c r="AH17" s="18">
        <v>1.564E+16</v>
      </c>
      <c r="AI17" s="18">
        <v>1.564E+16</v>
      </c>
      <c r="AJ17" s="18">
        <v>1.566E+16</v>
      </c>
      <c r="AK17" s="19">
        <f t="shared" si="13"/>
        <v>1.5646666666666666E+16</v>
      </c>
      <c r="AL17" s="20">
        <f t="shared" si="21"/>
        <v>11547005383792.516</v>
      </c>
      <c r="AM17" s="12">
        <f t="shared" si="22"/>
        <v>7.3798500535529501E-4</v>
      </c>
      <c r="AN17" s="19">
        <f t="shared" si="14"/>
        <v>2.9337500000000176E+16</v>
      </c>
      <c r="AO17" s="18">
        <f t="shared" si="15"/>
        <v>200000000000022</v>
      </c>
      <c r="AP17" s="25">
        <f t="shared" si="25"/>
        <v>6.8172134639973006E-3</v>
      </c>
      <c r="AQ17" s="22"/>
      <c r="AT17" s="45"/>
      <c r="AU17" s="45"/>
      <c r="AV17" s="45"/>
      <c r="AW17" s="45"/>
    </row>
    <row r="18" spans="1:49" x14ac:dyDescent="0.2">
      <c r="A18" s="28">
        <v>17</v>
      </c>
      <c r="B18" s="10" t="s">
        <v>53</v>
      </c>
      <c r="C18" s="10" t="s">
        <v>162</v>
      </c>
      <c r="D18" s="10" t="s">
        <v>80</v>
      </c>
      <c r="E18" s="11">
        <v>0.18329999999999999</v>
      </c>
      <c r="F18" s="11">
        <v>0.18340000000000001</v>
      </c>
      <c r="G18" s="11">
        <v>0.18340000000000001</v>
      </c>
      <c r="H18" s="11">
        <f t="shared" si="4"/>
        <v>0.18336666666666668</v>
      </c>
      <c r="I18" s="11">
        <f t="shared" si="5"/>
        <v>5.7735026918972248E-5</v>
      </c>
      <c r="J18" s="12">
        <f t="shared" si="6"/>
        <v>3.1486108117963413E-4</v>
      </c>
      <c r="L18" s="11">
        <v>0.18390000000000001</v>
      </c>
      <c r="M18" s="11">
        <v>0.184</v>
      </c>
      <c r="N18" s="11">
        <v>0.184</v>
      </c>
      <c r="O18" s="11">
        <f t="shared" si="16"/>
        <v>0.18396666666666669</v>
      </c>
      <c r="P18" s="11">
        <f t="shared" si="17"/>
        <v>5.7735026918956215E-5</v>
      </c>
      <c r="Q18" s="12">
        <f t="shared" si="18"/>
        <v>3.1383417422878893E-4</v>
      </c>
      <c r="S18" s="14">
        <f t="shared" si="0"/>
        <v>6.0000000000001719E-4</v>
      </c>
      <c r="T18" s="15">
        <f t="shared" si="1"/>
        <v>0.60000000000001719</v>
      </c>
      <c r="U18" s="16">
        <f t="shared" si="19"/>
        <v>5.7735026918972247E-2</v>
      </c>
      <c r="W18" s="46">
        <v>3518</v>
      </c>
      <c r="X18" s="46">
        <v>9.6575849999999992</v>
      </c>
      <c r="Y18" s="46">
        <v>7</v>
      </c>
      <c r="Z18" s="29">
        <f t="shared" si="23"/>
        <v>8.5714285714288171E-2</v>
      </c>
      <c r="AA18" s="10">
        <v>2.0055999999999998</v>
      </c>
      <c r="AB18" s="10">
        <v>9.0700000000000003E-2</v>
      </c>
      <c r="AC18" s="10">
        <v>0.49080000000000001</v>
      </c>
      <c r="AE18" s="48">
        <f>AVERAGE(3408,3408,3408)</f>
        <v>3408</v>
      </c>
      <c r="AF18" s="48">
        <f>AVERAGE(3481,3480,3481)</f>
        <v>3480.6666666666665</v>
      </c>
      <c r="AG18" s="26">
        <f t="shared" si="24"/>
        <v>72.666666666666515</v>
      </c>
      <c r="AH18" s="18">
        <v>1.896E+16</v>
      </c>
      <c r="AI18" s="18">
        <v>1.893E+16</v>
      </c>
      <c r="AJ18" s="18">
        <v>1.895E+16</v>
      </c>
      <c r="AK18" s="19">
        <f t="shared" si="13"/>
        <v>1.8946666666666668E+16</v>
      </c>
      <c r="AL18" s="20">
        <f t="shared" si="21"/>
        <v>15275252316519.467</v>
      </c>
      <c r="AM18" s="12">
        <f t="shared" si="22"/>
        <v>8.0622373239898663E-4</v>
      </c>
      <c r="AN18" s="19">
        <f t="shared" si="14"/>
        <v>3.1577777777776876E+16</v>
      </c>
      <c r="AO18" s="18">
        <f t="shared" si="15"/>
        <v>264575131106414.75</v>
      </c>
      <c r="AP18" s="25">
        <f t="shared" si="25"/>
        <v>8.3785228006959915E-3</v>
      </c>
      <c r="AQ18" s="22">
        <f t="shared" ref="AQ18" si="26">STDEV(AN17:AN19)/AVERAGE(AN17:AN19)</f>
        <v>5.3813280483217721E-2</v>
      </c>
      <c r="AT18" s="45"/>
      <c r="AU18" s="45"/>
      <c r="AV18" s="45"/>
      <c r="AW18" s="45"/>
    </row>
    <row r="19" spans="1:49" s="32" customFormat="1" x14ac:dyDescent="0.2">
      <c r="A19" s="31">
        <v>18</v>
      </c>
      <c r="B19" s="32" t="s">
        <v>54</v>
      </c>
      <c r="C19" s="32" t="s">
        <v>163</v>
      </c>
      <c r="D19" s="32" t="s">
        <v>80</v>
      </c>
      <c r="E19" s="33">
        <v>0.18379999999999999</v>
      </c>
      <c r="F19" s="33">
        <v>0.18379999999999999</v>
      </c>
      <c r="G19" s="33">
        <v>0.18390000000000001</v>
      </c>
      <c r="H19" s="33">
        <f t="shared" si="4"/>
        <v>0.18383333333333332</v>
      </c>
      <c r="I19" s="33">
        <f t="shared" si="5"/>
        <v>5.7735026918972241E-5</v>
      </c>
      <c r="J19" s="34">
        <f t="shared" si="6"/>
        <v>3.1406179647673025E-4</v>
      </c>
      <c r="L19" s="33">
        <v>0.18440000000000001</v>
      </c>
      <c r="M19" s="33">
        <v>0.18440000000000001</v>
      </c>
      <c r="N19" s="33">
        <v>0.18440000000000001</v>
      </c>
      <c r="O19" s="33">
        <f t="shared" si="16"/>
        <v>0.18440000000000001</v>
      </c>
      <c r="P19" s="33">
        <f t="shared" si="17"/>
        <v>0</v>
      </c>
      <c r="Q19" s="34">
        <f t="shared" si="18"/>
        <v>0</v>
      </c>
      <c r="S19" s="35">
        <f t="shared" si="0"/>
        <v>5.6666666666668752E-4</v>
      </c>
      <c r="T19" s="36">
        <f t="shared" si="1"/>
        <v>0.56666666666668752</v>
      </c>
      <c r="U19" s="37">
        <f t="shared" si="19"/>
        <v>5.773502691897224E-2</v>
      </c>
      <c r="W19" s="32">
        <v>4105</v>
      </c>
      <c r="X19" s="32">
        <v>9.6591389999999997</v>
      </c>
      <c r="Y19" s="32">
        <v>7</v>
      </c>
      <c r="Z19" s="38">
        <f t="shared" si="23"/>
        <v>8.0952380952383926E-2</v>
      </c>
      <c r="AA19" s="32">
        <v>2.0055999999999998</v>
      </c>
      <c r="AB19" s="32">
        <v>2.9899999999999999E-2</v>
      </c>
      <c r="AC19" s="32">
        <v>0.52159999999999995</v>
      </c>
      <c r="AE19" s="49">
        <f>AVERAGE(3410,3410,3410)</f>
        <v>3410</v>
      </c>
      <c r="AF19" s="49">
        <f>AVERAGE(3477,3480,3482)</f>
        <v>3479.6666666666665</v>
      </c>
      <c r="AG19" s="39">
        <f t="shared" si="24"/>
        <v>69.666666666666515</v>
      </c>
      <c r="AH19" s="40">
        <v>1.587E+16</v>
      </c>
      <c r="AI19" s="40">
        <v>1.619E+16</v>
      </c>
      <c r="AJ19" s="40">
        <v>1.634E+16</v>
      </c>
      <c r="AK19" s="41">
        <f t="shared" si="13"/>
        <v>1.6133333333333334E+16</v>
      </c>
      <c r="AL19" s="42">
        <f t="shared" si="21"/>
        <v>240069434400411.19</v>
      </c>
      <c r="AM19" s="34">
        <f t="shared" si="22"/>
        <v>1.4880336843000693E-2</v>
      </c>
      <c r="AN19" s="41">
        <f t="shared" si="14"/>
        <v>2.8470588235293072E+16</v>
      </c>
      <c r="AO19" s="40">
        <f t="shared" si="15"/>
        <v>4158124577257662</v>
      </c>
      <c r="AP19" s="43">
        <f t="shared" si="25"/>
        <v>0.14604983019293977</v>
      </c>
      <c r="AQ19" s="44"/>
      <c r="AT19" s="45"/>
      <c r="AU19" s="45"/>
      <c r="AV19" s="45"/>
      <c r="AW19" s="45"/>
    </row>
    <row r="20" spans="1:49" x14ac:dyDescent="0.2">
      <c r="A20" s="28">
        <v>19</v>
      </c>
      <c r="B20" s="10" t="s">
        <v>55</v>
      </c>
      <c r="C20" s="10" t="s">
        <v>164</v>
      </c>
      <c r="D20" s="10" t="s">
        <v>84</v>
      </c>
      <c r="E20" s="11">
        <v>0.1835</v>
      </c>
      <c r="F20" s="11">
        <v>0.18340000000000001</v>
      </c>
      <c r="G20" s="11">
        <v>0.18329999999999999</v>
      </c>
      <c r="H20" s="11">
        <f t="shared" si="4"/>
        <v>0.18340000000000001</v>
      </c>
      <c r="I20" s="11">
        <f t="shared" si="5"/>
        <v>1.0000000000000286E-4</v>
      </c>
      <c r="J20" s="12">
        <f t="shared" si="6"/>
        <v>5.4525627044712578E-4</v>
      </c>
      <c r="L20" s="11">
        <v>0.18429999999999999</v>
      </c>
      <c r="M20" s="11">
        <v>0.18429999999999999</v>
      </c>
      <c r="N20" s="11">
        <v>0.1842</v>
      </c>
      <c r="O20" s="11">
        <f t="shared" si="16"/>
        <v>0.18426666666666666</v>
      </c>
      <c r="P20" s="11">
        <f t="shared" si="17"/>
        <v>5.7735026918956222E-5</v>
      </c>
      <c r="Q20" s="12">
        <f t="shared" si="18"/>
        <v>3.1332322857610109E-4</v>
      </c>
      <c r="S20" s="14">
        <f t="shared" si="0"/>
        <v>8.6666666666665448E-4</v>
      </c>
      <c r="T20" s="15">
        <f t="shared" si="1"/>
        <v>0.86666666666665448</v>
      </c>
      <c r="U20" s="16">
        <f t="shared" si="19"/>
        <v>0.10000000000000286</v>
      </c>
      <c r="W20" s="46">
        <v>4104</v>
      </c>
      <c r="X20" s="46">
        <v>9.6585289999999997</v>
      </c>
      <c r="Y20" s="46">
        <v>8</v>
      </c>
      <c r="Z20" s="29">
        <f t="shared" si="23"/>
        <v>0.10833333333333181</v>
      </c>
      <c r="AA20" s="10">
        <v>2.0057</v>
      </c>
      <c r="AB20" s="10">
        <v>8.1799999999999998E-2</v>
      </c>
      <c r="AC20" s="10">
        <v>0.48770000000000002</v>
      </c>
      <c r="AE20" s="47">
        <f t="shared" ref="AE20" si="27">AVERAGE(3411,3411,3411)</f>
        <v>3411</v>
      </c>
      <c r="AF20" s="47">
        <f>AVERAGE(3479,3479,3479)</f>
        <v>3479</v>
      </c>
      <c r="AG20" s="26">
        <f t="shared" si="24"/>
        <v>68</v>
      </c>
      <c r="AH20" s="18">
        <v>2.229E+16</v>
      </c>
      <c r="AI20" s="18">
        <v>2.224E+16</v>
      </c>
      <c r="AJ20" s="18">
        <v>2.229E+16</v>
      </c>
      <c r="AK20" s="19">
        <f t="shared" ref="AK20:AK34" si="28">AVERAGE(AH20:AJ20)</f>
        <v>2.2273333333333332E+16</v>
      </c>
      <c r="AL20" s="20">
        <f t="shared" ref="AL20:AL34" si="29">STDEV(AH20:AJ20)</f>
        <v>28867513459481.289</v>
      </c>
      <c r="AM20" s="12">
        <f t="shared" ref="AM20:AM34" si="30">AL20/AK20</f>
        <v>1.2960571741760531E-3</v>
      </c>
      <c r="AN20" s="19">
        <f t="shared" si="14"/>
        <v>2.570000000000036E+16</v>
      </c>
      <c r="AO20" s="18">
        <f t="shared" si="15"/>
        <v>288675134594804.62</v>
      </c>
      <c r="AP20" s="25">
        <f t="shared" si="25"/>
        <v>1.1232495509525315E-2</v>
      </c>
      <c r="AQ20" s="22"/>
    </row>
    <row r="21" spans="1:49" x14ac:dyDescent="0.2">
      <c r="A21" s="28">
        <v>20</v>
      </c>
      <c r="B21" s="10" t="s">
        <v>56</v>
      </c>
      <c r="C21" s="10" t="s">
        <v>165</v>
      </c>
      <c r="D21" s="10" t="s">
        <v>84</v>
      </c>
      <c r="E21" s="11">
        <v>0.18160000000000001</v>
      </c>
      <c r="F21" s="11">
        <v>0.1817</v>
      </c>
      <c r="G21" s="11">
        <v>0.18160000000000001</v>
      </c>
      <c r="H21" s="11">
        <f t="shared" si="4"/>
        <v>0.18163333333333334</v>
      </c>
      <c r="I21" s="11">
        <f t="shared" si="5"/>
        <v>5.7735026918956222E-5</v>
      </c>
      <c r="J21" s="12">
        <f t="shared" si="6"/>
        <v>3.1786581162941577E-4</v>
      </c>
      <c r="L21" s="11">
        <v>0.1827</v>
      </c>
      <c r="M21" s="11">
        <v>0.18279999999999999</v>
      </c>
      <c r="N21" s="11">
        <v>0.1827</v>
      </c>
      <c r="O21" s="11">
        <f t="shared" si="16"/>
        <v>0.18273333333333333</v>
      </c>
      <c r="P21" s="11">
        <f t="shared" si="17"/>
        <v>5.7735026918956222E-5</v>
      </c>
      <c r="Q21" s="12">
        <f t="shared" si="18"/>
        <v>3.1595235453642587E-4</v>
      </c>
      <c r="S21" s="14">
        <f t="shared" si="0"/>
        <v>1.0999999999999899E-3</v>
      </c>
      <c r="T21" s="15">
        <f t="shared" si="1"/>
        <v>1.0999999999999899</v>
      </c>
      <c r="U21" s="16">
        <f t="shared" si="19"/>
        <v>5.7735026918956225E-2</v>
      </c>
      <c r="W21" s="46">
        <v>4104</v>
      </c>
      <c r="X21" s="10">
        <v>9.6571739999999995</v>
      </c>
      <c r="Y21" s="10">
        <v>11</v>
      </c>
      <c r="Z21" s="29">
        <f t="shared" si="23"/>
        <v>9.9999999999999076E-2</v>
      </c>
      <c r="AA21" s="10">
        <v>2.0057</v>
      </c>
      <c r="AB21" s="10">
        <v>8.0799999999999997E-2</v>
      </c>
      <c r="AC21" s="10">
        <v>0.48670000000000002</v>
      </c>
      <c r="AE21" s="48">
        <f>AVERAGE(3412,3408,3405)</f>
        <v>3408.3333333333335</v>
      </c>
      <c r="AF21" s="48">
        <f>AVERAGE(3475,3482,3482)</f>
        <v>3479.6666666666665</v>
      </c>
      <c r="AG21" s="26">
        <f t="shared" si="24"/>
        <v>71.33333333333303</v>
      </c>
      <c r="AH21" s="18">
        <v>3.349E+16</v>
      </c>
      <c r="AI21" s="18">
        <v>3.394E+16</v>
      </c>
      <c r="AJ21" s="18">
        <v>3.518E+16</v>
      </c>
      <c r="AK21" s="19">
        <f t="shared" si="28"/>
        <v>3.4203333333333332E+16</v>
      </c>
      <c r="AL21" s="20">
        <f t="shared" si="29"/>
        <v>875233302230515.75</v>
      </c>
      <c r="AM21" s="12">
        <f t="shared" si="30"/>
        <v>2.5589122957719007E-2</v>
      </c>
      <c r="AN21" s="19">
        <f t="shared" si="14"/>
        <v>3.109393939393968E+16</v>
      </c>
      <c r="AO21" s="18">
        <f t="shared" si="15"/>
        <v>1.5159485479397068E+16</v>
      </c>
      <c r="AP21" s="25">
        <f t="shared" si="25"/>
        <v>0.48753827192291066</v>
      </c>
      <c r="AQ21" s="22">
        <f t="shared" ref="AQ21" si="31">STDEV(AN20:AN22)/AVERAGE(AN20:AN22)</f>
        <v>0.27409818390467361</v>
      </c>
    </row>
    <row r="22" spans="1:49" s="32" customFormat="1" x14ac:dyDescent="0.2">
      <c r="A22" s="31">
        <v>21</v>
      </c>
      <c r="B22" s="32" t="s">
        <v>57</v>
      </c>
      <c r="C22" s="32" t="s">
        <v>166</v>
      </c>
      <c r="D22" s="32" t="s">
        <v>84</v>
      </c>
      <c r="E22" s="33">
        <v>0.18440000000000001</v>
      </c>
      <c r="F22" s="33">
        <v>0.18440000000000001</v>
      </c>
      <c r="G22" s="33">
        <v>0.1842</v>
      </c>
      <c r="H22" s="33">
        <f t="shared" si="4"/>
        <v>0.18433333333333335</v>
      </c>
      <c r="I22" s="33">
        <f t="shared" si="5"/>
        <v>1.1547005383792846E-4</v>
      </c>
      <c r="J22" s="34">
        <f t="shared" si="6"/>
        <v>6.2641982190557932E-4</v>
      </c>
      <c r="L22" s="33">
        <v>0.18479999999999999</v>
      </c>
      <c r="M22" s="33">
        <v>0.18479999999999999</v>
      </c>
      <c r="N22" s="33">
        <v>0.18479999999999999</v>
      </c>
      <c r="O22" s="33">
        <f t="shared" si="16"/>
        <v>0.18479999999999999</v>
      </c>
      <c r="P22" s="33">
        <f t="shared" si="17"/>
        <v>0</v>
      </c>
      <c r="Q22" s="34">
        <f t="shared" si="18"/>
        <v>0</v>
      </c>
      <c r="S22" s="35">
        <f t="shared" si="0"/>
        <v>4.6666666666664303E-4</v>
      </c>
      <c r="T22" s="36">
        <f t="shared" si="1"/>
        <v>0.46666666666664303</v>
      </c>
      <c r="U22" s="37">
        <f t="shared" si="19"/>
        <v>0.11547005383792847</v>
      </c>
      <c r="W22" s="32">
        <v>3518</v>
      </c>
      <c r="X22" s="50">
        <v>9.6589259999999992</v>
      </c>
      <c r="Y22" s="32">
        <v>7</v>
      </c>
      <c r="Z22" s="38">
        <f t="shared" si="23"/>
        <v>6.6666666666663293E-2</v>
      </c>
      <c r="AA22" s="32">
        <v>2.0055999999999998</v>
      </c>
      <c r="AB22" s="32">
        <v>5.4800000000000001E-2</v>
      </c>
      <c r="AC22" s="32">
        <v>0.5242</v>
      </c>
      <c r="AE22" s="49">
        <f>AVERAGE(3407,3407,3407)</f>
        <v>3407</v>
      </c>
      <c r="AF22" s="49">
        <f>AVERAGE(3481,3485,3481)</f>
        <v>3482.3333333333335</v>
      </c>
      <c r="AG22" s="39">
        <f t="shared" si="24"/>
        <v>75.333333333333485</v>
      </c>
      <c r="AH22" s="40">
        <v>2.018E+16</v>
      </c>
      <c r="AI22" s="40">
        <v>2.056E+16</v>
      </c>
      <c r="AJ22" s="40">
        <v>2.027E+16</v>
      </c>
      <c r="AK22" s="41">
        <f t="shared" si="28"/>
        <v>2.0336666666666668E+16</v>
      </c>
      <c r="AL22" s="42">
        <f t="shared" si="29"/>
        <v>198578280114753.06</v>
      </c>
      <c r="AM22" s="34">
        <f t="shared" si="30"/>
        <v>9.7645441787290472E-3</v>
      </c>
      <c r="AN22" s="41">
        <f t="shared" si="14"/>
        <v>4.357857142857364E+16</v>
      </c>
      <c r="AO22" s="40">
        <f t="shared" si="15"/>
        <v>1719738352191934.5</v>
      </c>
      <c r="AP22" s="43">
        <f t="shared" si="25"/>
        <v>3.9462935470719329E-2</v>
      </c>
      <c r="AQ22" s="44"/>
    </row>
    <row r="23" spans="1:49" x14ac:dyDescent="0.2">
      <c r="A23" s="28">
        <v>22</v>
      </c>
      <c r="B23" s="10" t="s">
        <v>58</v>
      </c>
      <c r="C23" s="10" t="s">
        <v>176</v>
      </c>
      <c r="D23" s="10" t="s">
        <v>100</v>
      </c>
      <c r="E23" s="11">
        <v>0.18579999999999999</v>
      </c>
      <c r="F23" s="11">
        <v>0.18579999999999999</v>
      </c>
      <c r="G23" s="11">
        <v>0.18590000000000001</v>
      </c>
      <c r="H23" s="11">
        <f t="shared" si="4"/>
        <v>0.18583333333333332</v>
      </c>
      <c r="I23" s="11">
        <f t="shared" si="5"/>
        <v>5.7735026918972241E-5</v>
      </c>
      <c r="J23" s="12">
        <f t="shared" si="6"/>
        <v>3.1068175920523182E-4</v>
      </c>
      <c r="L23" s="11">
        <v>0.1865</v>
      </c>
      <c r="M23" s="11">
        <v>0.18640000000000001</v>
      </c>
      <c r="N23" s="11">
        <v>0.18640000000000001</v>
      </c>
      <c r="O23" s="11">
        <f t="shared" si="16"/>
        <v>0.18643333333333334</v>
      </c>
      <c r="P23" s="11">
        <f t="shared" si="17"/>
        <v>5.7735026918956222E-5</v>
      </c>
      <c r="Q23" s="12">
        <f t="shared" si="18"/>
        <v>3.0968188942762142E-4</v>
      </c>
      <c r="S23" s="14">
        <f t="shared" si="0"/>
        <v>6.0000000000001719E-4</v>
      </c>
      <c r="T23" s="15">
        <f t="shared" si="1"/>
        <v>0.60000000000001719</v>
      </c>
      <c r="U23" s="16">
        <f t="shared" si="19"/>
        <v>5.773502691897224E-2</v>
      </c>
      <c r="W23" s="46">
        <v>3519</v>
      </c>
      <c r="X23" s="51">
        <v>9.6605070000000008</v>
      </c>
      <c r="Y23" s="10">
        <v>3</v>
      </c>
      <c r="Z23" s="29">
        <f t="shared" si="23"/>
        <v>0.20000000000000573</v>
      </c>
      <c r="AA23" s="10">
        <v>2.0055999999999998</v>
      </c>
      <c r="AB23" s="10">
        <v>0.2152</v>
      </c>
      <c r="AC23" s="10">
        <v>0.39340000000000003</v>
      </c>
      <c r="AE23" s="48">
        <f>AVERAGE(3410,3411,3410)</f>
        <v>3410.3333333333335</v>
      </c>
      <c r="AF23" s="48">
        <f>AVERAGE(3482,3482,3483)</f>
        <v>3482.3333333333335</v>
      </c>
      <c r="AG23" s="26">
        <f t="shared" si="24"/>
        <v>72</v>
      </c>
      <c r="AH23" s="18">
        <v>1.453E+16</v>
      </c>
      <c r="AI23" s="18">
        <v>1.453E+16</v>
      </c>
      <c r="AJ23" s="18">
        <v>1.455E+16</v>
      </c>
      <c r="AK23" s="19">
        <f t="shared" si="28"/>
        <v>1.4536666666666666E+16</v>
      </c>
      <c r="AL23" s="20">
        <f t="shared" si="29"/>
        <v>11547005383792.516</v>
      </c>
      <c r="AM23" s="12">
        <f t="shared" si="30"/>
        <v>7.943365317903588E-4</v>
      </c>
      <c r="AN23" s="19">
        <f t="shared" si="14"/>
        <v>2.4227777777777084E+16</v>
      </c>
      <c r="AO23" s="18">
        <f t="shared" si="15"/>
        <v>199999999999966.53</v>
      </c>
      <c r="AP23" s="25">
        <f t="shared" si="25"/>
        <v>8.2549873882125681E-3</v>
      </c>
      <c r="AQ23" s="22"/>
    </row>
    <row r="24" spans="1:49" x14ac:dyDescent="0.2">
      <c r="A24" s="28">
        <v>23</v>
      </c>
      <c r="B24" s="10" t="s">
        <v>59</v>
      </c>
      <c r="C24" s="10" t="s">
        <v>177</v>
      </c>
      <c r="D24" s="10" t="s">
        <v>100</v>
      </c>
      <c r="E24" s="11">
        <v>0.1845</v>
      </c>
      <c r="F24" s="11">
        <v>0.18440000000000001</v>
      </c>
      <c r="G24" s="11">
        <v>0.18440000000000001</v>
      </c>
      <c r="H24" s="11">
        <f t="shared" si="4"/>
        <v>0.18443333333333334</v>
      </c>
      <c r="I24" s="11">
        <f t="shared" si="5"/>
        <v>5.7735026918956222E-5</v>
      </c>
      <c r="J24" s="12">
        <f t="shared" si="6"/>
        <v>3.1304008812013131E-4</v>
      </c>
      <c r="L24" s="11">
        <v>0.1852</v>
      </c>
      <c r="M24" s="11">
        <v>0.18529999999999999</v>
      </c>
      <c r="N24" s="11">
        <v>0.18529999999999999</v>
      </c>
      <c r="O24" s="11">
        <f t="shared" si="16"/>
        <v>0.18526666666666666</v>
      </c>
      <c r="P24" s="11">
        <f t="shared" si="17"/>
        <v>5.7735026918956222E-5</v>
      </c>
      <c r="Q24" s="12">
        <f t="shared" si="18"/>
        <v>3.1163202727036462E-4</v>
      </c>
      <c r="S24" s="14">
        <f t="shared" si="0"/>
        <v>8.3333333333332482E-4</v>
      </c>
      <c r="T24" s="15">
        <f t="shared" si="1"/>
        <v>0.83333333333332482</v>
      </c>
      <c r="U24" s="16">
        <f t="shared" si="19"/>
        <v>5.7735026918956225E-2</v>
      </c>
      <c r="W24" s="46">
        <v>3518</v>
      </c>
      <c r="X24" s="10">
        <v>9.659948</v>
      </c>
      <c r="Y24" s="10">
        <v>5</v>
      </c>
      <c r="Z24" s="29">
        <f t="shared" si="23"/>
        <v>0.16666666666666496</v>
      </c>
      <c r="AA24" s="10">
        <v>2.0055999999999998</v>
      </c>
      <c r="AB24" s="10">
        <v>0.21010000000000001</v>
      </c>
      <c r="AC24" s="10">
        <v>0.40620000000000001</v>
      </c>
      <c r="AE24" s="48">
        <f>AVERAGE(3415,3415,3415)</f>
        <v>3415</v>
      </c>
      <c r="AF24" s="48">
        <f>AVERAGE(3477,3477,3478)</f>
        <v>3477.3333333333335</v>
      </c>
      <c r="AG24" s="26">
        <f t="shared" si="24"/>
        <v>62.333333333333485</v>
      </c>
      <c r="AH24" s="18">
        <v>2.809E+16</v>
      </c>
      <c r="AI24" s="18">
        <v>2.805E+16</v>
      </c>
      <c r="AJ24" s="18">
        <v>2.818E+16</v>
      </c>
      <c r="AK24" s="19">
        <f t="shared" si="28"/>
        <v>2.8106666666666668E+16</v>
      </c>
      <c r="AL24" s="20">
        <f t="shared" si="29"/>
        <v>66583281184793.93</v>
      </c>
      <c r="AM24" s="12">
        <f t="shared" si="30"/>
        <v>2.3689497575235031E-3</v>
      </c>
      <c r="AN24" s="19">
        <f t="shared" si="14"/>
        <v>3.3728000000000348E+16</v>
      </c>
      <c r="AO24" s="18">
        <f t="shared" si="15"/>
        <v>1153256259467206.5</v>
      </c>
      <c r="AP24" s="25">
        <f t="shared" si="25"/>
        <v>3.4192844505075738E-2</v>
      </c>
      <c r="AQ24" s="22">
        <f t="shared" ref="AQ24" si="32">STDEV(AN23:AN25)/AVERAGE(AN23:AN25)</f>
        <v>0.16354246501412403</v>
      </c>
    </row>
    <row r="25" spans="1:49" s="32" customFormat="1" x14ac:dyDescent="0.2">
      <c r="A25" s="31">
        <v>24</v>
      </c>
      <c r="B25" s="32" t="s">
        <v>60</v>
      </c>
      <c r="C25" s="32" t="s">
        <v>178</v>
      </c>
      <c r="D25" s="32" t="s">
        <v>100</v>
      </c>
      <c r="E25" s="33">
        <v>0.18690000000000001</v>
      </c>
      <c r="F25" s="33">
        <v>0.18679999999999999</v>
      </c>
      <c r="G25" s="33">
        <v>0.18690000000000001</v>
      </c>
      <c r="H25" s="33">
        <f t="shared" si="4"/>
        <v>0.18686666666666665</v>
      </c>
      <c r="I25" s="33">
        <f t="shared" si="5"/>
        <v>5.7735026918972241E-5</v>
      </c>
      <c r="J25" s="34">
        <f t="shared" si="6"/>
        <v>3.0896375447184577E-4</v>
      </c>
      <c r="L25" s="33">
        <v>0.18779999999999999</v>
      </c>
      <c r="M25" s="33">
        <v>0.18770000000000001</v>
      </c>
      <c r="N25" s="33">
        <v>0.18779999999999999</v>
      </c>
      <c r="O25" s="33">
        <f t="shared" si="16"/>
        <v>0.18776666666666667</v>
      </c>
      <c r="P25" s="33">
        <f t="shared" si="17"/>
        <v>5.7735026918956222E-5</v>
      </c>
      <c r="Q25" s="34">
        <f t="shared" si="18"/>
        <v>3.0748283464737913E-4</v>
      </c>
      <c r="S25" s="35">
        <f t="shared" si="0"/>
        <v>9.000000000000119E-4</v>
      </c>
      <c r="T25" s="36">
        <f t="shared" si="1"/>
        <v>0.9000000000000119</v>
      </c>
      <c r="U25" s="37">
        <f t="shared" si="19"/>
        <v>5.773502691897224E-2</v>
      </c>
      <c r="W25" s="32">
        <v>3518</v>
      </c>
      <c r="X25" s="32">
        <v>9.6578300000000006</v>
      </c>
      <c r="Y25" s="32">
        <v>5</v>
      </c>
      <c r="Z25" s="38">
        <f t="shared" si="23"/>
        <v>0.18000000000000238</v>
      </c>
      <c r="AA25" s="32">
        <v>2.0055999999999998</v>
      </c>
      <c r="AB25" s="32">
        <v>0.20780000000000001</v>
      </c>
      <c r="AC25" s="32">
        <v>0.4073</v>
      </c>
      <c r="AE25" s="49">
        <f>AVERAGE(3413,3413,3412)</f>
        <v>3412.6666666666665</v>
      </c>
      <c r="AF25" s="49">
        <f>AVERAGE(3480,3482,3482)</f>
        <v>3481.3333333333335</v>
      </c>
      <c r="AG25" s="39">
        <f t="shared" si="24"/>
        <v>68.66666666666697</v>
      </c>
      <c r="AH25" s="40">
        <v>2.718E+16</v>
      </c>
      <c r="AI25" s="40">
        <v>2.727E+16</v>
      </c>
      <c r="AJ25" s="40">
        <v>2.737E+16</v>
      </c>
      <c r="AK25" s="41">
        <f t="shared" si="28"/>
        <v>2.7273333333333332E+16</v>
      </c>
      <c r="AL25" s="42">
        <f t="shared" si="29"/>
        <v>95043849529221.688</v>
      </c>
      <c r="AM25" s="34">
        <f t="shared" si="30"/>
        <v>3.4848637079890623E-3</v>
      </c>
      <c r="AN25" s="41">
        <f t="shared" si="14"/>
        <v>3.03037037037033E+16</v>
      </c>
      <c r="AO25" s="40">
        <f t="shared" si="15"/>
        <v>1646207763315157.2</v>
      </c>
      <c r="AP25" s="43">
        <f t="shared" si="25"/>
        <v>5.4323648997200977E-2</v>
      </c>
      <c r="AQ25" s="44"/>
    </row>
    <row r="26" spans="1:49" x14ac:dyDescent="0.2">
      <c r="A26" s="52">
        <v>1</v>
      </c>
      <c r="B26" s="10" t="s">
        <v>61</v>
      </c>
      <c r="C26" s="10" t="s">
        <v>173</v>
      </c>
      <c r="D26" s="10" t="s">
        <v>96</v>
      </c>
      <c r="E26" s="53">
        <v>0.18410000000000001</v>
      </c>
      <c r="F26" s="53">
        <v>0.18410000000000001</v>
      </c>
      <c r="G26" s="53">
        <v>0.18410000000000001</v>
      </c>
      <c r="H26" s="11">
        <f t="shared" si="4"/>
        <v>0.18410000000000001</v>
      </c>
      <c r="I26" s="11">
        <f t="shared" si="5"/>
        <v>0</v>
      </c>
      <c r="J26" s="12">
        <f t="shared" si="6"/>
        <v>0</v>
      </c>
      <c r="L26" s="53">
        <v>0.18509999999999999</v>
      </c>
      <c r="M26" s="53">
        <v>0.185</v>
      </c>
      <c r="N26" s="53">
        <v>0.18509999999999999</v>
      </c>
      <c r="O26" s="11">
        <f t="shared" si="16"/>
        <v>0.18506666666666663</v>
      </c>
      <c r="P26" s="11">
        <f t="shared" si="17"/>
        <v>5.7735026918956215E-5</v>
      </c>
      <c r="Q26" s="12">
        <f t="shared" si="18"/>
        <v>3.1196880539781824E-4</v>
      </c>
      <c r="S26" s="14">
        <f t="shared" si="0"/>
        <v>9.6666666666661571E-4</v>
      </c>
      <c r="T26" s="15">
        <f t="shared" si="1"/>
        <v>0.96666666666661571</v>
      </c>
      <c r="U26" s="16">
        <f t="shared" si="19"/>
        <v>5.7735026918956218E-2</v>
      </c>
      <c r="W26" s="46">
        <v>4105</v>
      </c>
      <c r="X26" s="46">
        <v>9.6593820000000008</v>
      </c>
      <c r="Y26" s="46">
        <v>6</v>
      </c>
      <c r="Z26" s="29">
        <f t="shared" si="23"/>
        <v>0.16111111111110263</v>
      </c>
      <c r="AA26" s="10">
        <v>2.0055999999999998</v>
      </c>
      <c r="AB26" s="10">
        <v>0.2084</v>
      </c>
      <c r="AC26" s="10">
        <v>0.40889999999999999</v>
      </c>
      <c r="AE26" s="48">
        <f>AVERAGE(3410,3410,3411)</f>
        <v>3410.3333333333335</v>
      </c>
      <c r="AF26" s="48">
        <f>AVERAGE(3481,3482,3482)</f>
        <v>3481.6666666666665</v>
      </c>
      <c r="AG26" s="26">
        <f t="shared" si="24"/>
        <v>71.33333333333303</v>
      </c>
      <c r="AH26" s="18">
        <v>3.023E+16</v>
      </c>
      <c r="AI26" s="18">
        <v>3.028E+16</v>
      </c>
      <c r="AJ26" s="18">
        <v>3.019E+16</v>
      </c>
      <c r="AK26" s="19">
        <f t="shared" si="28"/>
        <v>3.0233333333333332E+16</v>
      </c>
      <c r="AL26" s="20">
        <f t="shared" si="29"/>
        <v>45092497528228.945</v>
      </c>
      <c r="AM26" s="12">
        <f t="shared" si="30"/>
        <v>1.491482828938113E-3</v>
      </c>
      <c r="AN26" s="19">
        <f t="shared" si="14"/>
        <v>3.1275862068967164E+16</v>
      </c>
      <c r="AO26" s="18">
        <f t="shared" si="15"/>
        <v>781024967590751.5</v>
      </c>
      <c r="AP26" s="25">
        <f t="shared" si="25"/>
        <v>2.4972132370596031E-2</v>
      </c>
      <c r="AQ26" s="22"/>
    </row>
    <row r="27" spans="1:49" x14ac:dyDescent="0.2">
      <c r="A27" s="52">
        <v>2</v>
      </c>
      <c r="B27" s="10" t="s">
        <v>62</v>
      </c>
      <c r="C27" s="10" t="s">
        <v>174</v>
      </c>
      <c r="D27" s="10" t="s">
        <v>96</v>
      </c>
      <c r="E27" s="53">
        <v>0.1804</v>
      </c>
      <c r="F27" s="53">
        <v>0.1804</v>
      </c>
      <c r="G27" s="53">
        <v>0.1804</v>
      </c>
      <c r="H27" s="11">
        <f t="shared" si="4"/>
        <v>0.1804</v>
      </c>
      <c r="I27" s="11">
        <f t="shared" si="5"/>
        <v>0</v>
      </c>
      <c r="J27" s="12">
        <f t="shared" si="6"/>
        <v>0</v>
      </c>
      <c r="L27" s="53">
        <v>0.18129999999999999</v>
      </c>
      <c r="M27" s="53">
        <v>0.1812</v>
      </c>
      <c r="N27" s="53">
        <v>0.18140000000000001</v>
      </c>
      <c r="O27" s="11">
        <f t="shared" si="16"/>
        <v>0.18130000000000002</v>
      </c>
      <c r="P27" s="11">
        <f t="shared" si="17"/>
        <v>1.0000000000000286E-4</v>
      </c>
      <c r="Q27" s="12">
        <f t="shared" si="18"/>
        <v>5.5157198014342448E-4</v>
      </c>
      <c r="S27" s="14">
        <f t="shared" si="0"/>
        <v>9.000000000000119E-4</v>
      </c>
      <c r="T27" s="15">
        <f t="shared" si="1"/>
        <v>0.9000000000000119</v>
      </c>
      <c r="U27" s="16">
        <f t="shared" si="19"/>
        <v>0.10000000000000286</v>
      </c>
      <c r="W27" s="46">
        <v>3518</v>
      </c>
      <c r="X27" s="46">
        <v>9.6593859999999996</v>
      </c>
      <c r="Y27" s="10">
        <v>5</v>
      </c>
      <c r="Z27" s="29">
        <f t="shared" si="23"/>
        <v>0.18000000000000238</v>
      </c>
      <c r="AA27" s="10">
        <v>2.0055000000000001</v>
      </c>
      <c r="AB27" s="10">
        <v>0.21229999999999999</v>
      </c>
      <c r="AC27" s="10">
        <v>0.40589999999999998</v>
      </c>
      <c r="AE27" s="48">
        <f>AVERAGE(3416,3416,3416)</f>
        <v>3416</v>
      </c>
      <c r="AF27" s="48">
        <f>AVERAGE(3477,3477,3477)</f>
        <v>3477</v>
      </c>
      <c r="AG27" s="26">
        <f t="shared" si="24"/>
        <v>61</v>
      </c>
      <c r="AH27" s="18">
        <v>2.583E+16</v>
      </c>
      <c r="AI27" s="18">
        <v>2.579E+16</v>
      </c>
      <c r="AJ27" s="18">
        <v>2.582E+16</v>
      </c>
      <c r="AK27" s="19">
        <f t="shared" si="28"/>
        <v>2.5813333333333332E+16</v>
      </c>
      <c r="AL27" s="20">
        <f t="shared" si="29"/>
        <v>20816659994661.328</v>
      </c>
      <c r="AM27" s="12">
        <f t="shared" si="30"/>
        <v>8.0643052665268578E-4</v>
      </c>
      <c r="AN27" s="19">
        <f t="shared" si="14"/>
        <v>2.86814814814811E+16</v>
      </c>
      <c r="AO27" s="18">
        <f t="shared" si="15"/>
        <v>208166599946607.31</v>
      </c>
      <c r="AP27" s="25">
        <f t="shared" si="25"/>
        <v>7.2578747398740606E-3</v>
      </c>
      <c r="AQ27" s="22">
        <f t="shared" ref="AQ27" si="33">STDEV(AN26:AN28)/AVERAGE(AN26:AN28)</f>
        <v>5.6826664183793188E-2</v>
      </c>
    </row>
    <row r="28" spans="1:49" s="32" customFormat="1" x14ac:dyDescent="0.2">
      <c r="A28" s="54">
        <v>3</v>
      </c>
      <c r="B28" s="32" t="s">
        <v>63</v>
      </c>
      <c r="C28" s="32" t="s">
        <v>175</v>
      </c>
      <c r="D28" s="32" t="s">
        <v>96</v>
      </c>
      <c r="E28" s="33">
        <v>0.18429999999999999</v>
      </c>
      <c r="F28" s="33">
        <v>0.18440000000000001</v>
      </c>
      <c r="G28" s="33">
        <v>0.18440000000000001</v>
      </c>
      <c r="H28" s="33">
        <f t="shared" si="4"/>
        <v>0.18436666666666668</v>
      </c>
      <c r="I28" s="33">
        <f t="shared" ref="I28:I30" si="34">STDEV(E28:G28)</f>
        <v>5.7735026918972248E-5</v>
      </c>
      <c r="J28" s="34">
        <f t="shared" ref="J28:J30" si="35">I28/H28</f>
        <v>3.1315328287274767E-4</v>
      </c>
      <c r="L28" s="33">
        <v>0.1855</v>
      </c>
      <c r="M28" s="33">
        <v>0.18540000000000001</v>
      </c>
      <c r="N28" s="33">
        <v>0.18540000000000001</v>
      </c>
      <c r="O28" s="33">
        <f t="shared" si="16"/>
        <v>0.18543333333333334</v>
      </c>
      <c r="P28" s="33">
        <f t="shared" si="17"/>
        <v>5.7735026918956222E-5</v>
      </c>
      <c r="Q28" s="34">
        <f t="shared" si="18"/>
        <v>3.1135193377111031E-4</v>
      </c>
      <c r="S28" s="35">
        <f t="shared" si="0"/>
        <v>1.0666666666666602E-3</v>
      </c>
      <c r="T28" s="36">
        <f t="shared" si="1"/>
        <v>1.0666666666666602</v>
      </c>
      <c r="U28" s="37">
        <f t="shared" si="19"/>
        <v>5.7735026918972247E-2</v>
      </c>
      <c r="W28" s="32">
        <v>4105</v>
      </c>
      <c r="X28" s="32">
        <v>9.6592789999999997</v>
      </c>
      <c r="Y28" s="32">
        <v>6</v>
      </c>
      <c r="Z28" s="38">
        <f t="shared" si="23"/>
        <v>0.1777777777777767</v>
      </c>
      <c r="AA28" s="32">
        <v>2.0055999999999998</v>
      </c>
      <c r="AB28" s="32">
        <v>0.21</v>
      </c>
      <c r="AC28" s="32">
        <v>0.40389999999999998</v>
      </c>
      <c r="AE28" s="49">
        <f>AVERAGE(3414,3415,3413)</f>
        <v>3414</v>
      </c>
      <c r="AF28" s="49">
        <f>AVERAGE(3477,3477,3477)</f>
        <v>3477</v>
      </c>
      <c r="AG28" s="39">
        <f t="shared" si="24"/>
        <v>63</v>
      </c>
      <c r="AH28" s="40">
        <v>3.004E+16</v>
      </c>
      <c r="AI28" s="40">
        <v>2.997E+16</v>
      </c>
      <c r="AJ28" s="40">
        <v>3.01E+16</v>
      </c>
      <c r="AK28" s="41">
        <f t="shared" si="28"/>
        <v>3.0036666666666668E+16</v>
      </c>
      <c r="AL28" s="42">
        <f t="shared" si="29"/>
        <v>65064070986477.117</v>
      </c>
      <c r="AM28" s="34">
        <f t="shared" si="30"/>
        <v>2.1661548436292459E-3</v>
      </c>
      <c r="AN28" s="41">
        <f t="shared" si="14"/>
        <v>2.8159375000000172E+16</v>
      </c>
      <c r="AO28" s="40">
        <f t="shared" si="15"/>
        <v>1126942766958275.8</v>
      </c>
      <c r="AP28" s="43">
        <f t="shared" si="25"/>
        <v>4.002016262641727E-2</v>
      </c>
      <c r="AQ28" s="44"/>
    </row>
    <row r="29" spans="1:49" x14ac:dyDescent="0.2">
      <c r="A29" s="52">
        <v>4</v>
      </c>
      <c r="B29" s="10" t="s">
        <v>64</v>
      </c>
      <c r="C29" s="10" t="s">
        <v>167</v>
      </c>
      <c r="D29" s="10" t="s">
        <v>92</v>
      </c>
      <c r="E29" s="53">
        <v>0.1933</v>
      </c>
      <c r="F29" s="53">
        <v>0.19320000000000001</v>
      </c>
      <c r="G29" s="53">
        <v>0.19320000000000001</v>
      </c>
      <c r="H29" s="11">
        <f t="shared" si="4"/>
        <v>0.19323333333333334</v>
      </c>
      <c r="I29" s="11">
        <f t="shared" si="34"/>
        <v>5.7735026918956222E-5</v>
      </c>
      <c r="J29" s="12">
        <f t="shared" si="35"/>
        <v>2.9878399302547641E-4</v>
      </c>
      <c r="L29" s="53">
        <v>0.1943</v>
      </c>
      <c r="M29" s="53">
        <v>0.1943</v>
      </c>
      <c r="N29" s="53">
        <v>0.19439999999999999</v>
      </c>
      <c r="O29" s="11">
        <f t="shared" si="16"/>
        <v>0.19433333333333333</v>
      </c>
      <c r="P29" s="11">
        <f t="shared" si="17"/>
        <v>5.7735026918956222E-5</v>
      </c>
      <c r="Q29" s="12">
        <f t="shared" si="18"/>
        <v>2.970927628762756E-4</v>
      </c>
      <c r="S29" s="14">
        <f t="shared" si="0"/>
        <v>1.0999999999999899E-3</v>
      </c>
      <c r="T29" s="15">
        <f t="shared" si="1"/>
        <v>1.0999999999999899</v>
      </c>
      <c r="U29" s="16">
        <f t="shared" si="19"/>
        <v>5.7735026918956225E-2</v>
      </c>
      <c r="W29" s="46">
        <v>4105</v>
      </c>
      <c r="X29" s="46">
        <v>9.6603680000000001</v>
      </c>
      <c r="Y29" s="10">
        <v>5</v>
      </c>
      <c r="Z29" s="29">
        <f t="shared" si="23"/>
        <v>0.21999999999999797</v>
      </c>
      <c r="AA29" s="10">
        <v>2.0055000000000001</v>
      </c>
      <c r="AB29" s="10">
        <v>0.23930000000000001</v>
      </c>
      <c r="AC29" s="10">
        <v>0.37540000000000001</v>
      </c>
      <c r="AE29" s="48">
        <f>AVERAGE(3420,3420,3420)</f>
        <v>3420</v>
      </c>
      <c r="AF29" s="48">
        <f>AVERAGE(3475,3476,3476)</f>
        <v>3475.6666666666665</v>
      </c>
      <c r="AG29" s="26">
        <f t="shared" si="24"/>
        <v>55.666666666666515</v>
      </c>
      <c r="AH29" s="18">
        <v>2.835E+16</v>
      </c>
      <c r="AI29" s="18">
        <v>2.841E+16</v>
      </c>
      <c r="AJ29" s="18">
        <v>2.843E+16</v>
      </c>
      <c r="AK29" s="19">
        <f t="shared" si="28"/>
        <v>2.8396666666666668E+16</v>
      </c>
      <c r="AL29" s="20">
        <f t="shared" si="29"/>
        <v>41633319989322.656</v>
      </c>
      <c r="AM29" s="12">
        <f t="shared" si="30"/>
        <v>1.4661340529166329E-3</v>
      </c>
      <c r="AN29" s="19">
        <f t="shared" si="14"/>
        <v>2.5815151515151752E+16</v>
      </c>
      <c r="AO29" s="18">
        <f t="shared" si="15"/>
        <v>721110255092877.25</v>
      </c>
      <c r="AP29" s="25">
        <f t="shared" si="25"/>
        <v>2.7933605373946156E-2</v>
      </c>
      <c r="AQ29" s="22"/>
    </row>
    <row r="30" spans="1:49" x14ac:dyDescent="0.2">
      <c r="A30" s="52">
        <v>5</v>
      </c>
      <c r="B30" s="10" t="s">
        <v>65</v>
      </c>
      <c r="C30" s="10" t="s">
        <v>168</v>
      </c>
      <c r="D30" s="10" t="s">
        <v>92</v>
      </c>
      <c r="E30" s="53">
        <v>0.18479999999999999</v>
      </c>
      <c r="F30" s="53">
        <v>0.18490000000000001</v>
      </c>
      <c r="G30" s="53">
        <v>0.18490000000000001</v>
      </c>
      <c r="H30" s="11">
        <f t="shared" si="4"/>
        <v>0.18486666666666665</v>
      </c>
      <c r="I30" s="11">
        <f t="shared" si="34"/>
        <v>5.7735026918972241E-5</v>
      </c>
      <c r="J30" s="12">
        <f t="shared" si="35"/>
        <v>3.1230631221946761E-4</v>
      </c>
      <c r="L30" s="53">
        <v>0.18640000000000001</v>
      </c>
      <c r="M30" s="53">
        <v>0.18640000000000001</v>
      </c>
      <c r="N30" s="53">
        <v>0.18640000000000001</v>
      </c>
      <c r="O30" s="11">
        <f t="shared" si="16"/>
        <v>0.18640000000000001</v>
      </c>
      <c r="P30" s="11">
        <f t="shared" si="17"/>
        <v>0</v>
      </c>
      <c r="Q30" s="12">
        <f t="shared" si="18"/>
        <v>0</v>
      </c>
      <c r="S30" s="14">
        <f t="shared" si="0"/>
        <v>1.5333333333333588E-3</v>
      </c>
      <c r="T30" s="15">
        <f t="shared" si="1"/>
        <v>1.5333333333333588</v>
      </c>
      <c r="U30" s="16">
        <f t="shared" si="19"/>
        <v>5.773502691897224E-2</v>
      </c>
      <c r="W30" s="46">
        <v>4105</v>
      </c>
      <c r="X30" s="46">
        <v>9.6600579999999994</v>
      </c>
      <c r="Y30" s="10">
        <v>6.5</v>
      </c>
      <c r="Z30" s="29">
        <f t="shared" si="23"/>
        <v>0.23589743589743981</v>
      </c>
      <c r="AA30" s="10">
        <v>2.0055999999999998</v>
      </c>
      <c r="AB30" s="10">
        <v>0.2266</v>
      </c>
      <c r="AC30" s="10">
        <v>0.38090000000000002</v>
      </c>
      <c r="AE30" s="48">
        <f>AVERAGE(3417,3417,3417)</f>
        <v>3417</v>
      </c>
      <c r="AF30" s="48">
        <f>AVERAGE(3475,3475,3481)</f>
        <v>3477</v>
      </c>
      <c r="AG30" s="26">
        <f t="shared" si="24"/>
        <v>60</v>
      </c>
      <c r="AH30" s="18">
        <v>3.492E+16</v>
      </c>
      <c r="AI30" s="18">
        <v>3.505E+16</v>
      </c>
      <c r="AJ30" s="18">
        <v>3.557E+16</v>
      </c>
      <c r="AK30" s="19">
        <f t="shared" si="28"/>
        <v>3.518E+16</v>
      </c>
      <c r="AL30" s="20">
        <f t="shared" si="29"/>
        <v>343947670438396.75</v>
      </c>
      <c r="AM30" s="12">
        <f t="shared" si="30"/>
        <v>9.7767956349743244E-3</v>
      </c>
      <c r="AN30" s="19">
        <f t="shared" si="14"/>
        <v>2.2943478260869184E+16</v>
      </c>
      <c r="AO30" s="18">
        <f t="shared" si="15"/>
        <v>5957348403441594</v>
      </c>
      <c r="AP30" s="25">
        <f>AO30/AN30</f>
        <v>0.2596532372165225</v>
      </c>
      <c r="AQ30" s="22">
        <f t="shared" ref="AQ30" si="36">STDEV(AN29:AN31)/AVERAGE(AN29:AN31)</f>
        <v>8.60391765955697E-2</v>
      </c>
    </row>
    <row r="31" spans="1:49" s="32" customFormat="1" x14ac:dyDescent="0.2">
      <c r="A31" s="54">
        <v>6</v>
      </c>
      <c r="B31" s="32" t="s">
        <v>66</v>
      </c>
      <c r="C31" s="32" t="s">
        <v>169</v>
      </c>
      <c r="D31" s="32" t="s">
        <v>92</v>
      </c>
      <c r="E31" s="33">
        <v>0.1883</v>
      </c>
      <c r="F31" s="33">
        <v>0.18820000000000001</v>
      </c>
      <c r="G31" s="33">
        <v>0.18820000000000001</v>
      </c>
      <c r="H31" s="33">
        <f t="shared" si="4"/>
        <v>0.18823333333333334</v>
      </c>
      <c r="I31" s="33">
        <f t="shared" ref="I31:I34" si="37">STDEV(E31:G31)</f>
        <v>5.7735026918956222E-5</v>
      </c>
      <c r="J31" s="34">
        <f t="shared" ref="J31:J34" si="38">I31/H31</f>
        <v>3.06720525512429E-4</v>
      </c>
      <c r="L31" s="33">
        <v>0.18970000000000001</v>
      </c>
      <c r="M31" s="33">
        <v>0.1898</v>
      </c>
      <c r="N31" s="33">
        <v>0.18959999999999999</v>
      </c>
      <c r="O31" s="33">
        <f t="shared" si="16"/>
        <v>0.18969999999999998</v>
      </c>
      <c r="P31" s="33">
        <f t="shared" si="17"/>
        <v>1.0000000000000286E-4</v>
      </c>
      <c r="Q31" s="34">
        <f t="shared" si="18"/>
        <v>5.2714812862415849E-4</v>
      </c>
      <c r="S31" s="35">
        <f t="shared" si="0"/>
        <v>1.4666666666666439E-3</v>
      </c>
      <c r="T31" s="36">
        <f t="shared" si="1"/>
        <v>1.4666666666666439</v>
      </c>
      <c r="U31" s="37">
        <f t="shared" si="19"/>
        <v>0.10000000000000286</v>
      </c>
      <c r="W31" s="32">
        <v>3519</v>
      </c>
      <c r="X31" s="32">
        <v>9.6601359999999996</v>
      </c>
      <c r="Y31" s="32">
        <v>6</v>
      </c>
      <c r="Z31" s="38">
        <f t="shared" si="23"/>
        <v>0.24444444444444066</v>
      </c>
      <c r="AA31" s="32">
        <v>2.0055999999999998</v>
      </c>
      <c r="AB31" s="32">
        <v>0.22620000000000001</v>
      </c>
      <c r="AC31" s="32">
        <v>0.38129999999999997</v>
      </c>
      <c r="AE31" s="49">
        <f>AVERAGE(3409,3410,3410)</f>
        <v>3409.6666666666665</v>
      </c>
      <c r="AF31" s="49">
        <f>AVERAGE(3483,3481,3482)</f>
        <v>3482</v>
      </c>
      <c r="AG31" s="39">
        <f t="shared" si="24"/>
        <v>72.333333333333485</v>
      </c>
      <c r="AH31" s="40">
        <v>4.004E+16</v>
      </c>
      <c r="AI31" s="40">
        <v>3.983E+16</v>
      </c>
      <c r="AJ31" s="40">
        <v>3.989E+16</v>
      </c>
      <c r="AK31" s="41">
        <f t="shared" si="28"/>
        <v>3.992E+16</v>
      </c>
      <c r="AL31" s="42">
        <f t="shared" si="29"/>
        <v>108166538263919.67</v>
      </c>
      <c r="AM31" s="34">
        <f t="shared" si="30"/>
        <v>2.7095826218416753E-3</v>
      </c>
      <c r="AN31" s="41">
        <f t="shared" si="14"/>
        <v>2.721818181818224E+16</v>
      </c>
      <c r="AO31" s="40">
        <f t="shared" si="15"/>
        <v>1081665382639165.8</v>
      </c>
      <c r="AP31" s="43">
        <f t="shared" si="25"/>
        <v>3.9740545120342814E-2</v>
      </c>
      <c r="AQ31" s="44"/>
    </row>
    <row r="32" spans="1:49" x14ac:dyDescent="0.2">
      <c r="A32" s="52">
        <v>7</v>
      </c>
      <c r="B32" s="10" t="s">
        <v>67</v>
      </c>
      <c r="C32" s="10" t="s">
        <v>170</v>
      </c>
      <c r="D32" s="10" t="s">
        <v>88</v>
      </c>
      <c r="E32" s="53">
        <v>0.1867</v>
      </c>
      <c r="F32" s="53">
        <v>0.18659999999999999</v>
      </c>
      <c r="G32" s="53">
        <v>0.18659999999999999</v>
      </c>
      <c r="H32" s="11">
        <f t="shared" si="4"/>
        <v>0.18663333333333332</v>
      </c>
      <c r="I32" s="11">
        <f t="shared" si="37"/>
        <v>5.7735026918972248E-5</v>
      </c>
      <c r="J32" s="12">
        <f t="shared" si="38"/>
        <v>3.0935002814237679E-4</v>
      </c>
      <c r="L32" s="53">
        <v>0.18759999999999999</v>
      </c>
      <c r="M32" s="53">
        <v>0.18759999999999999</v>
      </c>
      <c r="N32" s="53">
        <v>0.18759999999999999</v>
      </c>
      <c r="O32" s="11">
        <f t="shared" si="16"/>
        <v>0.18759999999999999</v>
      </c>
      <c r="P32" s="11">
        <f t="shared" si="17"/>
        <v>0</v>
      </c>
      <c r="Q32" s="12">
        <f t="shared" si="18"/>
        <v>0</v>
      </c>
      <c r="S32" s="14">
        <f t="shared" si="0"/>
        <v>9.6666666666667123E-4</v>
      </c>
      <c r="T32" s="15">
        <f t="shared" si="1"/>
        <v>0.96666666666667123</v>
      </c>
      <c r="U32" s="16">
        <f t="shared" si="19"/>
        <v>5.7735026918972247E-2</v>
      </c>
      <c r="W32" s="46">
        <v>4105</v>
      </c>
      <c r="X32" s="46">
        <v>9.6592909999999996</v>
      </c>
      <c r="Y32" s="10">
        <v>5</v>
      </c>
      <c r="Z32" s="29">
        <f t="shared" si="23"/>
        <v>0.19333333333333425</v>
      </c>
      <c r="AA32" s="10">
        <v>2.0055999999999998</v>
      </c>
      <c r="AB32" s="10">
        <v>0.2238</v>
      </c>
      <c r="AC32" s="10">
        <v>0.379</v>
      </c>
      <c r="AE32" s="55">
        <f>AVERAGE(3409,3410,3410)</f>
        <v>3409.6666666666665</v>
      </c>
      <c r="AF32" s="55">
        <f>AVERAGE(3476,3482,3481)</f>
        <v>3479.6666666666665</v>
      </c>
      <c r="AG32" s="26">
        <f t="shared" si="24"/>
        <v>70</v>
      </c>
      <c r="AH32" s="18">
        <v>2.794E+16</v>
      </c>
      <c r="AI32" s="56">
        <v>2.852E+16</v>
      </c>
      <c r="AJ32" s="18">
        <v>2.845E+16</v>
      </c>
      <c r="AK32" s="19">
        <f t="shared" si="28"/>
        <v>2.8303333333333332E+16</v>
      </c>
      <c r="AL32" s="20">
        <f t="shared" si="29"/>
        <v>316596483450674.69</v>
      </c>
      <c r="AM32" s="12">
        <f t="shared" si="30"/>
        <v>1.1185837361347593E-2</v>
      </c>
      <c r="AN32" s="19">
        <f t="shared" si="14"/>
        <v>2.9279310344827448E+16</v>
      </c>
      <c r="AO32" s="18">
        <f t="shared" si="15"/>
        <v>5483611948341159</v>
      </c>
      <c r="AP32" s="25">
        <f t="shared" si="25"/>
        <v>0.18728624013884626</v>
      </c>
      <c r="AQ32" s="22"/>
    </row>
    <row r="33" spans="1:43" x14ac:dyDescent="0.2">
      <c r="A33" s="52">
        <v>8</v>
      </c>
      <c r="B33" s="10" t="s">
        <v>68</v>
      </c>
      <c r="C33" s="10" t="s">
        <v>171</v>
      </c>
      <c r="D33" s="10" t="s">
        <v>88</v>
      </c>
      <c r="E33" s="53">
        <v>0.18390000000000001</v>
      </c>
      <c r="F33" s="53">
        <v>0.18390000000000001</v>
      </c>
      <c r="G33" s="53">
        <v>0.18390000000000001</v>
      </c>
      <c r="H33" s="11">
        <f t="shared" si="4"/>
        <v>0.18390000000000004</v>
      </c>
      <c r="I33" s="11">
        <f t="shared" si="37"/>
        <v>3.3993498887762956E-17</v>
      </c>
      <c r="J33" s="12">
        <f t="shared" si="38"/>
        <v>1.8484773729071749E-16</v>
      </c>
      <c r="L33" s="53">
        <v>0.185</v>
      </c>
      <c r="M33" s="53">
        <v>0.18490000000000001</v>
      </c>
      <c r="N33" s="53">
        <v>0.18490000000000001</v>
      </c>
      <c r="O33" s="11">
        <f t="shared" si="16"/>
        <v>0.18493333333333331</v>
      </c>
      <c r="P33" s="11">
        <f t="shared" si="17"/>
        <v>5.7735026918956215E-5</v>
      </c>
      <c r="Q33" s="12">
        <f t="shared" si="18"/>
        <v>3.1219372883357726E-4</v>
      </c>
      <c r="S33" s="14">
        <f t="shared" si="0"/>
        <v>1.033333333333275E-3</v>
      </c>
      <c r="T33" s="15">
        <f t="shared" si="1"/>
        <v>1.033333333333275</v>
      </c>
      <c r="U33" s="16">
        <f t="shared" si="19"/>
        <v>5.7735026918956218E-2</v>
      </c>
      <c r="W33" s="46">
        <v>4105</v>
      </c>
      <c r="X33" s="46">
        <v>9.6599579999999996</v>
      </c>
      <c r="Y33" s="10">
        <v>5</v>
      </c>
      <c r="Z33" s="29">
        <f t="shared" si="23"/>
        <v>0.20666666666665501</v>
      </c>
      <c r="AA33" s="10">
        <v>2.0055999999999998</v>
      </c>
      <c r="AB33" s="10">
        <v>0.2288</v>
      </c>
      <c r="AC33" s="10">
        <v>0.37919999999999998</v>
      </c>
      <c r="AE33" s="55">
        <f>AVERAGE(3409,3409,3409)</f>
        <v>3409</v>
      </c>
      <c r="AF33" s="55">
        <f>AVERAGE(3485,3486,3486)</f>
        <v>3485.6666666666665</v>
      </c>
      <c r="AG33" s="26">
        <f t="shared" si="24"/>
        <v>76.666666666666515</v>
      </c>
      <c r="AH33" s="18">
        <v>3.019E+16</v>
      </c>
      <c r="AI33" s="18">
        <v>3.023E+16</v>
      </c>
      <c r="AJ33" s="18">
        <v>3.021E+16</v>
      </c>
      <c r="AK33" s="19">
        <f t="shared" si="28"/>
        <v>3.021E+16</v>
      </c>
      <c r="AL33" s="20">
        <f t="shared" si="29"/>
        <v>20000000000000</v>
      </c>
      <c r="AM33" s="12">
        <f t="shared" si="30"/>
        <v>6.6203243958953991E-4</v>
      </c>
      <c r="AN33" s="19">
        <f t="shared" si="14"/>
        <v>2.9235483870969392E+16</v>
      </c>
      <c r="AO33" s="18">
        <f t="shared" si="15"/>
        <v>346410161513813.62</v>
      </c>
      <c r="AP33" s="25">
        <f t="shared" si="25"/>
        <v>1.1848962823488487E-2</v>
      </c>
      <c r="AQ33" s="22">
        <f t="shared" ref="AQ33" si="39">STDEV(AN32:AN34)/AVERAGE(AN32:AN34)</f>
        <v>6.3949402390242396E-2</v>
      </c>
    </row>
    <row r="34" spans="1:43" s="32" customFormat="1" x14ac:dyDescent="0.2">
      <c r="A34" s="54">
        <v>9</v>
      </c>
      <c r="B34" s="32" t="s">
        <v>69</v>
      </c>
      <c r="C34" s="32" t="s">
        <v>172</v>
      </c>
      <c r="D34" s="32" t="s">
        <v>88</v>
      </c>
      <c r="E34" s="33">
        <v>0.1799</v>
      </c>
      <c r="F34" s="33">
        <v>0.17979999999999999</v>
      </c>
      <c r="G34" s="33">
        <v>0.17974999999999999</v>
      </c>
      <c r="H34" s="33">
        <f t="shared" si="4"/>
        <v>0.17981666666666665</v>
      </c>
      <c r="I34" s="33">
        <f t="shared" si="37"/>
        <v>7.6376261582604063E-5</v>
      </c>
      <c r="J34" s="34">
        <f t="shared" si="38"/>
        <v>4.2474517517436685E-4</v>
      </c>
      <c r="L34" s="33">
        <v>0.18099999999999999</v>
      </c>
      <c r="M34" s="33">
        <v>0.18095</v>
      </c>
      <c r="N34" s="33">
        <v>0.18090000000000001</v>
      </c>
      <c r="O34" s="33">
        <f t="shared" si="16"/>
        <v>0.18095000000000003</v>
      </c>
      <c r="P34" s="33">
        <f t="shared" si="17"/>
        <v>4.9999999999994493E-5</v>
      </c>
      <c r="Q34" s="34">
        <f t="shared" si="18"/>
        <v>2.76319425255565E-4</v>
      </c>
      <c r="S34" s="35">
        <f t="shared" si="0"/>
        <v>1.133333333333375E-3</v>
      </c>
      <c r="T34" s="36">
        <f t="shared" si="1"/>
        <v>1.133333333333375</v>
      </c>
      <c r="U34" s="37">
        <f t="shared" si="19"/>
        <v>7.6376261582604063E-2</v>
      </c>
      <c r="W34" s="32">
        <v>4105</v>
      </c>
      <c r="X34" s="32">
        <v>9.6598659999999992</v>
      </c>
      <c r="Y34" s="32">
        <v>5</v>
      </c>
      <c r="Z34" s="38">
        <f t="shared" si="23"/>
        <v>0.22666666666667501</v>
      </c>
      <c r="AA34" s="32">
        <v>2.0055999999999998</v>
      </c>
      <c r="AB34" s="32">
        <v>0.22739999999999999</v>
      </c>
      <c r="AC34" s="32">
        <v>0.37940000000000002</v>
      </c>
      <c r="AE34" s="39">
        <f>AVERAGE(3417,3410,3417)</f>
        <v>3414.6666666666665</v>
      </c>
      <c r="AF34" s="39">
        <f>AVERAGE(3474,3480,3474)</f>
        <v>3476</v>
      </c>
      <c r="AG34" s="39">
        <f t="shared" si="24"/>
        <v>61.333333333333485</v>
      </c>
      <c r="AH34" s="40">
        <v>2.925E+16</v>
      </c>
      <c r="AI34" s="40">
        <v>3.029E+16</v>
      </c>
      <c r="AJ34" s="40">
        <v>2.931E+16</v>
      </c>
      <c r="AK34" s="41">
        <f t="shared" si="28"/>
        <v>2.9616666666666668E+16</v>
      </c>
      <c r="AL34" s="42">
        <f t="shared" si="29"/>
        <v>583894967723933.5</v>
      </c>
      <c r="AM34" s="34">
        <f t="shared" si="30"/>
        <v>1.9715080508405182E-2</v>
      </c>
      <c r="AN34" s="41">
        <f t="shared" si="14"/>
        <v>2.6132352941175508E+16</v>
      </c>
      <c r="AO34" s="40">
        <f t="shared" si="15"/>
        <v>7644979678567104</v>
      </c>
      <c r="AP34" s="43">
        <f t="shared" si="25"/>
        <v>0.29254846265761519</v>
      </c>
      <c r="AQ34" s="44"/>
    </row>
    <row r="36" spans="1:43" x14ac:dyDescent="0.2">
      <c r="A36" s="10" t="s">
        <v>180</v>
      </c>
      <c r="W36" s="10">
        <f>MIN(W14:W34)</f>
        <v>3518</v>
      </c>
      <c r="X36" s="29">
        <f>AVERAGE(X14:X34)</f>
        <v>9.6591765238095224</v>
      </c>
      <c r="Y36" s="10">
        <f>MIN(Y14:Y34)</f>
        <v>3</v>
      </c>
      <c r="Z36" s="29">
        <f>AVERAGE(Z14:Z34)</f>
        <v>0.14866959319340262</v>
      </c>
      <c r="AA36" s="11">
        <f>AVERAGE(AA14:AA34)</f>
        <v>2.0055952380952387</v>
      </c>
      <c r="AB36" s="11">
        <f t="shared" ref="AB36:AC36" si="40">AVERAGE(AB14:AB34)</f>
        <v>0.15164761904761903</v>
      </c>
      <c r="AC36" s="11">
        <f t="shared" si="40"/>
        <v>0.44145714285714294</v>
      </c>
      <c r="AE36" s="26">
        <f t="shared" ref="AE36:AF36" si="41">AVERAGE(AE14:AE34)</f>
        <v>3411.5873015873012</v>
      </c>
      <c r="AF36" s="26">
        <f t="shared" si="41"/>
        <v>3479.8571428571436</v>
      </c>
      <c r="AG36" s="26">
        <f t="shared" ref="AG36:AI36" si="42">AVERAGE(AG14:AG34)</f>
        <v>68.269841269841265</v>
      </c>
      <c r="AH36" s="18">
        <f t="shared" si="42"/>
        <v>2.4762380952380952E+16</v>
      </c>
      <c r="AI36" s="18">
        <f t="shared" si="42"/>
        <v>2.4940476190476192E+16</v>
      </c>
      <c r="AJ36" s="18">
        <f t="shared" ref="AJ36:AK36" si="43">AVERAGE(AJ14:AJ34)</f>
        <v>2.4973333333333332E+16</v>
      </c>
      <c r="AK36" s="18">
        <f t="shared" si="43"/>
        <v>2.4892063492063496E+16</v>
      </c>
      <c r="AN36" s="18">
        <f t="shared" ref="AN36" si="44">AVERAGE(AN14:AN34)</f>
        <v>2.9220577556775088E+16</v>
      </c>
    </row>
    <row r="37" spans="1:43" x14ac:dyDescent="0.2">
      <c r="A37" s="10" t="s">
        <v>181</v>
      </c>
      <c r="W37" s="10">
        <f>MAX(W14:W34)</f>
        <v>4105</v>
      </c>
      <c r="X37" s="29">
        <f>STDEV(X14:X34)</f>
        <v>9.2069955029032327E-4</v>
      </c>
      <c r="Y37" s="10">
        <f>MAX(Y14:Y34)</f>
        <v>11</v>
      </c>
      <c r="Z37" s="29">
        <f>STDEV(Z14:Z34)</f>
        <v>6.4699948160125489E-2</v>
      </c>
      <c r="AA37" s="11">
        <f>STDEV(AA14:AA34)</f>
        <v>5.8959227235338079E-5</v>
      </c>
      <c r="AB37" s="11">
        <f t="shared" ref="AB37:AC37" si="45">STDEV(AB14:AB34)</f>
        <v>8.2624969706787899E-2</v>
      </c>
      <c r="AC37" s="11">
        <f t="shared" si="45"/>
        <v>6.0585861151167139E-2</v>
      </c>
      <c r="AE37" s="16">
        <f t="shared" ref="AE37:AF37" si="46">STDEV(AE14:AE34)</f>
        <v>3.5022290709787041</v>
      </c>
      <c r="AF37" s="16">
        <f t="shared" si="46"/>
        <v>2.5982289450303857</v>
      </c>
      <c r="AG37" s="16">
        <f t="shared" ref="AG37:AI37" si="47">STDEV(AG14:AG34)</f>
        <v>5.7971439784499239</v>
      </c>
      <c r="AH37" s="18">
        <f t="shared" si="47"/>
        <v>7612453549783995</v>
      </c>
      <c r="AI37" s="18">
        <f t="shared" si="47"/>
        <v>7602142116660584</v>
      </c>
      <c r="AJ37" s="18">
        <f t="shared" ref="AJ37:AK37" si="48">STDEV(AJ14:AJ34)</f>
        <v>7703046367076682</v>
      </c>
      <c r="AK37" s="18">
        <f t="shared" si="48"/>
        <v>7636233617591453</v>
      </c>
      <c r="AN37" s="18">
        <f t="shared" ref="AN37" si="49">STDEV(AN14:AN34)</f>
        <v>4915151405092467</v>
      </c>
    </row>
    <row r="38" spans="1:43" x14ac:dyDescent="0.2">
      <c r="A38" s="10" t="s">
        <v>9</v>
      </c>
      <c r="X38" s="12">
        <f>X37/X36</f>
        <v>9.5318637983355203E-5</v>
      </c>
      <c r="Z38" s="12">
        <f>Z37/Z36</f>
        <v>0.43519287818295199</v>
      </c>
      <c r="AA38" s="12">
        <f>AA37/AA36</f>
        <v>2.9397370972685923E-5</v>
      </c>
      <c r="AB38" s="12">
        <f t="shared" ref="AB38:AG38" si="50">AB37/AB36</f>
        <v>0.54484844685126732</v>
      </c>
      <c r="AC38" s="12">
        <f t="shared" si="50"/>
        <v>0.13724064075405148</v>
      </c>
      <c r="AE38" s="12">
        <f t="shared" si="50"/>
        <v>1.026568796685704E-3</v>
      </c>
      <c r="AF38" s="12">
        <f t="shared" si="50"/>
        <v>7.466481635211912E-4</v>
      </c>
      <c r="AG38" s="12">
        <f t="shared" si="50"/>
        <v>8.4915152439512961E-2</v>
      </c>
      <c r="AH38" s="12">
        <f t="shared" ref="AH38" si="51">AH37/AH36</f>
        <v>0.30742009681633797</v>
      </c>
      <c r="AI38" s="12">
        <f t="shared" ref="AI38" si="52">AI37/AI36</f>
        <v>0.30481142615727397</v>
      </c>
      <c r="AJ38" s="12">
        <f t="shared" ref="AJ38" si="53">AJ37/AJ36</f>
        <v>0.30845086894327345</v>
      </c>
      <c r="AK38" s="12">
        <f t="shared" ref="AK38" si="54">AK37/AK36</f>
        <v>0.3067738285347924</v>
      </c>
      <c r="AN38" s="12">
        <f t="shared" ref="AN38" si="55">AN37/AN36</f>
        <v>0.16820856451390842</v>
      </c>
    </row>
  </sheetData>
  <phoneticPr fontId="3" type="noConversion"/>
  <conditionalFormatting sqref="J2:J34">
    <cfRule type="cellIs" dxfId="23" priority="1" operator="greaterThan">
      <formula>0.005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95266B-6AAB-E54F-875A-E199F102F8B5}">
  <dimension ref="A1:C22"/>
  <sheetViews>
    <sheetView workbookViewId="0">
      <selection activeCell="B1" sqref="B1:B1048576"/>
    </sheetView>
  </sheetViews>
  <sheetFormatPr baseColWidth="10" defaultRowHeight="16" x14ac:dyDescent="0.2"/>
  <cols>
    <col min="1" max="1" width="20.33203125" bestFit="1" customWidth="1"/>
    <col min="2" max="2" width="10.1640625" bestFit="1" customWidth="1"/>
    <col min="3" max="3" width="20" bestFit="1" customWidth="1"/>
  </cols>
  <sheetData>
    <row r="1" spans="1:3" x14ac:dyDescent="0.2">
      <c r="A1" s="3" t="s">
        <v>104</v>
      </c>
      <c r="B1" s="3" t="s">
        <v>106</v>
      </c>
      <c r="C1" s="58" t="str">
        <f>'Soot Data'!Z1</f>
        <v>Soot density (mg/mm)</v>
      </c>
    </row>
    <row r="2" spans="1:3" x14ac:dyDescent="0.2">
      <c r="A2" s="3" t="s">
        <v>77</v>
      </c>
      <c r="B2" s="57" t="s">
        <v>76</v>
      </c>
      <c r="C2" s="58">
        <f>'Soot Data'!Z14</f>
        <v>5.2380952380958509E-2</v>
      </c>
    </row>
    <row r="3" spans="1:3" x14ac:dyDescent="0.2">
      <c r="A3" s="3" t="s">
        <v>78</v>
      </c>
      <c r="B3" s="57" t="s">
        <v>76</v>
      </c>
      <c r="C3" s="58">
        <f>'Soot Data'!Z15</f>
        <v>5.5555555555558689E-2</v>
      </c>
    </row>
    <row r="4" spans="1:3" x14ac:dyDescent="0.2">
      <c r="A4" s="3" t="s">
        <v>79</v>
      </c>
      <c r="B4" s="57" t="s">
        <v>76</v>
      </c>
      <c r="C4" s="58">
        <f>'Soot Data'!Z16</f>
        <v>0.10370370370369845</v>
      </c>
    </row>
    <row r="5" spans="1:3" x14ac:dyDescent="0.2">
      <c r="A5" s="3" t="s">
        <v>81</v>
      </c>
      <c r="B5" s="57" t="s">
        <v>80</v>
      </c>
      <c r="C5" s="58">
        <f>'Soot Data'!Z17</f>
        <v>7.6190476190475726E-2</v>
      </c>
    </row>
    <row r="6" spans="1:3" x14ac:dyDescent="0.2">
      <c r="A6" s="3" t="s">
        <v>82</v>
      </c>
      <c r="B6" s="57" t="s">
        <v>80</v>
      </c>
      <c r="C6" s="58">
        <f>'Soot Data'!Z18</f>
        <v>8.5714285714288171E-2</v>
      </c>
    </row>
    <row r="7" spans="1:3" x14ac:dyDescent="0.2">
      <c r="A7" s="3" t="s">
        <v>83</v>
      </c>
      <c r="B7" s="57" t="s">
        <v>80</v>
      </c>
      <c r="C7" s="58">
        <f>'Soot Data'!Z19</f>
        <v>8.0952380952383926E-2</v>
      </c>
    </row>
    <row r="8" spans="1:3" x14ac:dyDescent="0.2">
      <c r="A8" s="3" t="s">
        <v>85</v>
      </c>
      <c r="B8" s="57" t="s">
        <v>84</v>
      </c>
      <c r="C8" s="58">
        <f>'Soot Data'!Z20</f>
        <v>0.10833333333333181</v>
      </c>
    </row>
    <row r="9" spans="1:3" x14ac:dyDescent="0.2">
      <c r="A9" s="3" t="s">
        <v>86</v>
      </c>
      <c r="B9" s="57" t="s">
        <v>84</v>
      </c>
      <c r="C9" s="58">
        <f>'Soot Data'!Z21</f>
        <v>9.9999999999999076E-2</v>
      </c>
    </row>
    <row r="10" spans="1:3" x14ac:dyDescent="0.2">
      <c r="A10" s="3" t="s">
        <v>87</v>
      </c>
      <c r="B10" s="57" t="s">
        <v>84</v>
      </c>
      <c r="C10" s="58">
        <f>'Soot Data'!Z22</f>
        <v>6.6666666666663293E-2</v>
      </c>
    </row>
    <row r="11" spans="1:3" x14ac:dyDescent="0.2">
      <c r="A11" s="3" t="s">
        <v>93</v>
      </c>
      <c r="B11" s="57" t="s">
        <v>96</v>
      </c>
      <c r="C11" s="58">
        <f>'Soot Data'!Z26</f>
        <v>0.16111111111110263</v>
      </c>
    </row>
    <row r="12" spans="1:3" x14ac:dyDescent="0.2">
      <c r="A12" s="3" t="s">
        <v>94</v>
      </c>
      <c r="B12" s="57" t="s">
        <v>96</v>
      </c>
      <c r="C12" s="58">
        <f>'Soot Data'!Z27</f>
        <v>0.18000000000000238</v>
      </c>
    </row>
    <row r="13" spans="1:3" x14ac:dyDescent="0.2">
      <c r="A13" s="3" t="s">
        <v>95</v>
      </c>
      <c r="B13" s="57" t="s">
        <v>96</v>
      </c>
      <c r="C13" s="58">
        <f>'Soot Data'!Z28</f>
        <v>0.1777777777777767</v>
      </c>
    </row>
    <row r="14" spans="1:3" x14ac:dyDescent="0.2">
      <c r="A14" s="3" t="s">
        <v>89</v>
      </c>
      <c r="B14" s="57" t="s">
        <v>100</v>
      </c>
      <c r="C14" s="58">
        <f>'Soot Data'!Z23</f>
        <v>0.20000000000000573</v>
      </c>
    </row>
    <row r="15" spans="1:3" x14ac:dyDescent="0.2">
      <c r="A15" s="3" t="s">
        <v>90</v>
      </c>
      <c r="B15" s="57" t="s">
        <v>100</v>
      </c>
      <c r="C15" s="58">
        <f>'Soot Data'!Z24</f>
        <v>0.16666666666666496</v>
      </c>
    </row>
    <row r="16" spans="1:3" x14ac:dyDescent="0.2">
      <c r="A16" s="3" t="s">
        <v>91</v>
      </c>
      <c r="B16" s="57" t="s">
        <v>100</v>
      </c>
      <c r="C16" s="58">
        <f>'Soot Data'!Z25</f>
        <v>0.18000000000000238</v>
      </c>
    </row>
    <row r="17" spans="1:3" x14ac:dyDescent="0.2">
      <c r="A17" s="3" t="s">
        <v>97</v>
      </c>
      <c r="B17" s="57" t="s">
        <v>92</v>
      </c>
      <c r="C17" s="58">
        <f>'Soot Data'!Z29</f>
        <v>0.21999999999999797</v>
      </c>
    </row>
    <row r="18" spans="1:3" x14ac:dyDescent="0.2">
      <c r="A18" s="3" t="s">
        <v>98</v>
      </c>
      <c r="B18" s="57" t="s">
        <v>92</v>
      </c>
      <c r="C18" s="58">
        <f>'Soot Data'!Z30</f>
        <v>0.23589743589743981</v>
      </c>
    </row>
    <row r="19" spans="1:3" x14ac:dyDescent="0.2">
      <c r="A19" s="3" t="s">
        <v>99</v>
      </c>
      <c r="B19" s="57" t="s">
        <v>92</v>
      </c>
      <c r="C19" s="58">
        <f>'Soot Data'!Z31</f>
        <v>0.24444444444444066</v>
      </c>
    </row>
    <row r="20" spans="1:3" x14ac:dyDescent="0.2">
      <c r="A20" s="3" t="s">
        <v>101</v>
      </c>
      <c r="B20" s="57" t="s">
        <v>88</v>
      </c>
      <c r="C20" s="58">
        <f>'Soot Data'!Z32</f>
        <v>0.19333333333333425</v>
      </c>
    </row>
    <row r="21" spans="1:3" x14ac:dyDescent="0.2">
      <c r="A21" s="3" t="s">
        <v>102</v>
      </c>
      <c r="B21" s="57" t="s">
        <v>88</v>
      </c>
      <c r="C21" s="58">
        <f>'Soot Data'!Z33</f>
        <v>0.20666666666665501</v>
      </c>
    </row>
    <row r="22" spans="1:3" x14ac:dyDescent="0.2">
      <c r="A22" s="3" t="s">
        <v>103</v>
      </c>
      <c r="B22" s="57" t="s">
        <v>88</v>
      </c>
      <c r="C22" s="58">
        <f>'Soot Data'!Z34</f>
        <v>0.22666666666667501</v>
      </c>
    </row>
  </sheetData>
  <sortState xmlns:xlrd2="http://schemas.microsoft.com/office/spreadsheetml/2017/richdata2" ref="A2:C22">
    <sortCondition ref="B2:B22"/>
    <sortCondition ref="A2:A2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4C249-E400-FB47-A7D7-97D562562CFE}">
  <dimension ref="A1:H22"/>
  <sheetViews>
    <sheetView workbookViewId="0">
      <selection activeCell="E32" sqref="E32"/>
    </sheetView>
  </sheetViews>
  <sheetFormatPr baseColWidth="10" defaultRowHeight="16" x14ac:dyDescent="0.2"/>
  <cols>
    <col min="1" max="1" width="20.33203125" bestFit="1" customWidth="1"/>
    <col min="2" max="2" width="10.83203125" style="64"/>
    <col min="5" max="5" width="12.1640625" bestFit="1" customWidth="1"/>
  </cols>
  <sheetData>
    <row r="1" spans="1:8" x14ac:dyDescent="0.2">
      <c r="A1" s="3" t="s">
        <v>104</v>
      </c>
      <c r="B1" s="3" t="s">
        <v>106</v>
      </c>
      <c r="C1" s="63" t="str">
        <f>'Soot Data'!AA1</f>
        <v>g factor</v>
      </c>
      <c r="H1" t="s">
        <v>153</v>
      </c>
    </row>
    <row r="2" spans="1:8" x14ac:dyDescent="0.2">
      <c r="A2" s="3" t="s">
        <v>77</v>
      </c>
      <c r="B2" s="57" t="s">
        <v>76</v>
      </c>
      <c r="C2" s="59">
        <f>'Soot Data'!AA14</f>
        <v>2.0057</v>
      </c>
    </row>
    <row r="3" spans="1:8" x14ac:dyDescent="0.2">
      <c r="A3" s="3" t="s">
        <v>78</v>
      </c>
      <c r="B3" s="57" t="s">
        <v>76</v>
      </c>
      <c r="C3" s="59">
        <f>'Soot Data'!AA15</f>
        <v>2.0055000000000001</v>
      </c>
      <c r="D3" s="1">
        <f>AVERAGE(C2:C4)</f>
        <v>2.0055999999999998</v>
      </c>
      <c r="E3">
        <f>STDEV(C2:C4)</f>
        <v>9.9999999999988987E-5</v>
      </c>
      <c r="F3" s="89">
        <f>E3/D3</f>
        <v>4.9860390905459214E-5</v>
      </c>
    </row>
    <row r="4" spans="1:8" x14ac:dyDescent="0.2">
      <c r="A4" s="3" t="s">
        <v>79</v>
      </c>
      <c r="B4" s="57" t="s">
        <v>76</v>
      </c>
      <c r="C4" s="59">
        <f>'Soot Data'!AA16</f>
        <v>2.0055999999999998</v>
      </c>
      <c r="F4" s="90"/>
    </row>
    <row r="5" spans="1:8" x14ac:dyDescent="0.2">
      <c r="A5" s="3" t="s">
        <v>81</v>
      </c>
      <c r="B5" s="57" t="s">
        <v>80</v>
      </c>
      <c r="C5" s="59">
        <f>'Soot Data'!AA17</f>
        <v>2.0055000000000001</v>
      </c>
      <c r="F5" s="90"/>
    </row>
    <row r="6" spans="1:8" x14ac:dyDescent="0.2">
      <c r="A6" s="3" t="s">
        <v>82</v>
      </c>
      <c r="B6" s="57" t="s">
        <v>80</v>
      </c>
      <c r="C6" s="59">
        <f>'Soot Data'!AA18</f>
        <v>2.0055999999999998</v>
      </c>
      <c r="D6" s="1">
        <f>AVERAGE(C5:C7)</f>
        <v>2.0055666666666667</v>
      </c>
      <c r="E6" s="91">
        <f>STDEV(C5:C7)</f>
        <v>5.7735026918828022E-5</v>
      </c>
      <c r="F6" s="89">
        <f>E6/D6</f>
        <v>2.878738856125186E-5</v>
      </c>
    </row>
    <row r="7" spans="1:8" x14ac:dyDescent="0.2">
      <c r="A7" s="3" t="s">
        <v>83</v>
      </c>
      <c r="B7" s="57" t="s">
        <v>80</v>
      </c>
      <c r="C7" s="59">
        <f>'Soot Data'!AA19</f>
        <v>2.0055999999999998</v>
      </c>
      <c r="E7" s="91"/>
      <c r="F7" s="90"/>
    </row>
    <row r="8" spans="1:8" x14ac:dyDescent="0.2">
      <c r="A8" s="3" t="s">
        <v>85</v>
      </c>
      <c r="B8" s="57" t="s">
        <v>84</v>
      </c>
      <c r="C8" s="59">
        <f>'Soot Data'!AA20</f>
        <v>2.0057</v>
      </c>
      <c r="E8" s="91"/>
      <c r="F8" s="90"/>
    </row>
    <row r="9" spans="1:8" x14ac:dyDescent="0.2">
      <c r="A9" s="3" t="s">
        <v>86</v>
      </c>
      <c r="B9" s="57" t="s">
        <v>84</v>
      </c>
      <c r="C9" s="59">
        <f>'Soot Data'!AA21</f>
        <v>2.0057</v>
      </c>
      <c r="D9" s="1">
        <f>AVERAGE(C8:C10)</f>
        <v>2.0056666666666665</v>
      </c>
      <c r="E9" s="91">
        <f>STDEV(C8:C10)</f>
        <v>5.7735026919084416E-5</v>
      </c>
      <c r="F9" s="89">
        <f>E9/D9</f>
        <v>2.8785953258642723E-5</v>
      </c>
    </row>
    <row r="10" spans="1:8" x14ac:dyDescent="0.2">
      <c r="A10" s="3" t="s">
        <v>87</v>
      </c>
      <c r="B10" s="57" t="s">
        <v>84</v>
      </c>
      <c r="C10" s="59">
        <f>'Soot Data'!AA22</f>
        <v>2.0055999999999998</v>
      </c>
      <c r="E10" s="91"/>
      <c r="F10" s="90"/>
    </row>
    <row r="11" spans="1:8" x14ac:dyDescent="0.2">
      <c r="A11" s="3" t="s">
        <v>93</v>
      </c>
      <c r="B11" s="57" t="s">
        <v>96</v>
      </c>
      <c r="C11" s="59">
        <f>'Soot Data'!AA26</f>
        <v>2.0055999999999998</v>
      </c>
      <c r="F11" s="90"/>
    </row>
    <row r="12" spans="1:8" x14ac:dyDescent="0.2">
      <c r="A12" s="3" t="s">
        <v>94</v>
      </c>
      <c r="B12" s="57" t="s">
        <v>96</v>
      </c>
      <c r="C12" s="59">
        <f>'Soot Data'!AA27</f>
        <v>2.0055000000000001</v>
      </c>
      <c r="D12" s="1">
        <f>AVERAGE(C11:C13)</f>
        <v>2.0055666666666667</v>
      </c>
      <c r="E12" s="91">
        <f>STDEV(C11:C13)</f>
        <v>5.7735026918828022E-5</v>
      </c>
      <c r="F12" s="89">
        <f>E12/D12</f>
        <v>2.878738856125186E-5</v>
      </c>
    </row>
    <row r="13" spans="1:8" x14ac:dyDescent="0.2">
      <c r="A13" s="3" t="s">
        <v>95</v>
      </c>
      <c r="B13" s="57" t="s">
        <v>96</v>
      </c>
      <c r="C13" s="59">
        <f>'Soot Data'!AA28</f>
        <v>2.0055999999999998</v>
      </c>
      <c r="F13" s="90"/>
    </row>
    <row r="14" spans="1:8" x14ac:dyDescent="0.2">
      <c r="A14" s="3" t="s">
        <v>89</v>
      </c>
      <c r="B14" s="57" t="s">
        <v>100</v>
      </c>
      <c r="C14" s="59">
        <f>'Soot Data'!AA23</f>
        <v>2.0055999999999998</v>
      </c>
      <c r="F14" s="90"/>
    </row>
    <row r="15" spans="1:8" x14ac:dyDescent="0.2">
      <c r="A15" s="3" t="s">
        <v>90</v>
      </c>
      <c r="B15" s="57" t="s">
        <v>100</v>
      </c>
      <c r="C15" s="59">
        <f>'Soot Data'!AA24</f>
        <v>2.0055999999999998</v>
      </c>
      <c r="D15" s="1">
        <f>AVERAGE(C14:C16)</f>
        <v>2.0055999999999998</v>
      </c>
      <c r="E15">
        <f>STDEV(C14:C16)</f>
        <v>0</v>
      </c>
      <c r="F15" s="89">
        <f>E15/D15</f>
        <v>0</v>
      </c>
    </row>
    <row r="16" spans="1:8" x14ac:dyDescent="0.2">
      <c r="A16" s="3" t="s">
        <v>91</v>
      </c>
      <c r="B16" s="57" t="s">
        <v>100</v>
      </c>
      <c r="C16" s="59">
        <f>'Soot Data'!AA25</f>
        <v>2.0055999999999998</v>
      </c>
    </row>
    <row r="17" spans="1:6" x14ac:dyDescent="0.2">
      <c r="A17" s="3" t="s">
        <v>97</v>
      </c>
      <c r="B17" s="57" t="s">
        <v>92</v>
      </c>
      <c r="C17" s="59">
        <f>'Soot Data'!AA29</f>
        <v>2.0055000000000001</v>
      </c>
      <c r="E17" s="91"/>
      <c r="F17" s="90"/>
    </row>
    <row r="18" spans="1:6" x14ac:dyDescent="0.2">
      <c r="A18" s="3" t="s">
        <v>98</v>
      </c>
      <c r="B18" s="57" t="s">
        <v>92</v>
      </c>
      <c r="C18" s="59">
        <f>'Soot Data'!AA30</f>
        <v>2.0055999999999998</v>
      </c>
      <c r="D18" s="1">
        <f>AVERAGE(C17:C19)</f>
        <v>2.0055666666666667</v>
      </c>
      <c r="E18" s="91">
        <f>STDEV(C17:C19)</f>
        <v>5.7735026918828022E-5</v>
      </c>
      <c r="F18" s="89">
        <f>E18/D18</f>
        <v>2.878738856125186E-5</v>
      </c>
    </row>
    <row r="19" spans="1:6" x14ac:dyDescent="0.2">
      <c r="A19" s="3" t="s">
        <v>99</v>
      </c>
      <c r="B19" s="57" t="s">
        <v>92</v>
      </c>
      <c r="C19" s="59">
        <f>'Soot Data'!AA31</f>
        <v>2.0055999999999998</v>
      </c>
      <c r="F19" s="90"/>
    </row>
    <row r="20" spans="1:6" x14ac:dyDescent="0.2">
      <c r="A20" s="3" t="s">
        <v>101</v>
      </c>
      <c r="B20" s="57" t="s">
        <v>88</v>
      </c>
      <c r="C20" s="59">
        <f>'Soot Data'!AA32</f>
        <v>2.0055999999999998</v>
      </c>
      <c r="F20" s="90"/>
    </row>
    <row r="21" spans="1:6" x14ac:dyDescent="0.2">
      <c r="A21" s="3" t="s">
        <v>102</v>
      </c>
      <c r="B21" s="57" t="s">
        <v>88</v>
      </c>
      <c r="C21" s="59">
        <f>'Soot Data'!AA33</f>
        <v>2.0055999999999998</v>
      </c>
      <c r="D21" s="1">
        <f>AVERAGE(C20:C22)</f>
        <v>2.0055999999999998</v>
      </c>
      <c r="E21">
        <f>STDEV(C20:C22)</f>
        <v>0</v>
      </c>
      <c r="F21" s="89">
        <f>E21/D21</f>
        <v>0</v>
      </c>
    </row>
    <row r="22" spans="1:6" x14ac:dyDescent="0.2">
      <c r="A22" s="3" t="s">
        <v>103</v>
      </c>
      <c r="B22" s="57" t="s">
        <v>88</v>
      </c>
      <c r="C22" s="59">
        <f>'Soot Data'!AA34</f>
        <v>2.0055999999999998</v>
      </c>
      <c r="F22" s="90"/>
    </row>
  </sheetData>
  <sortState xmlns:xlrd2="http://schemas.microsoft.com/office/spreadsheetml/2017/richdata2" ref="A2:F22">
    <sortCondition ref="B2:B22"/>
    <sortCondition ref="A2:A22"/>
  </sortState>
  <conditionalFormatting sqref="C2:C22">
    <cfRule type="cellIs" dxfId="22" priority="1" operator="greaterThan">
      <formula>2.01</formula>
    </cfRule>
    <cfRule type="cellIs" dxfId="21" priority="2" operator="lessThan">
      <formula>1.99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BFF01-CB97-4A40-92A8-6A28AF63FE2C}">
  <dimension ref="A1:X53"/>
  <sheetViews>
    <sheetView workbookViewId="0">
      <selection activeCell="M45" sqref="M45"/>
    </sheetView>
  </sheetViews>
  <sheetFormatPr baseColWidth="10" defaultRowHeight="16" x14ac:dyDescent="0.2"/>
  <cols>
    <col min="1" max="1" width="20.33203125" bestFit="1" customWidth="1"/>
    <col min="2" max="2" width="10.1640625" bestFit="1" customWidth="1"/>
    <col min="3" max="3" width="13.1640625" bestFit="1" customWidth="1"/>
    <col min="4" max="4" width="14.1640625" bestFit="1" customWidth="1"/>
    <col min="5" max="5" width="6.6640625" bestFit="1" customWidth="1"/>
    <col min="6" max="6" width="7.1640625" bestFit="1" customWidth="1"/>
  </cols>
  <sheetData>
    <row r="1" spans="1:18" x14ac:dyDescent="0.2">
      <c r="A1" s="3" t="s">
        <v>104</v>
      </c>
      <c r="B1" s="3" t="s">
        <v>106</v>
      </c>
      <c r="C1" s="59" t="str">
        <f>'Soot Data'!AB1</f>
        <v>Gaussian (mT)</v>
      </c>
      <c r="D1" s="59" t="str">
        <f>'Soot Data'!AC1</f>
        <v>Lorentzian (mT)</v>
      </c>
      <c r="F1" t="s">
        <v>151</v>
      </c>
      <c r="M1" t="s">
        <v>152</v>
      </c>
    </row>
    <row r="2" spans="1:18" x14ac:dyDescent="0.2">
      <c r="A2" s="3" t="s">
        <v>77</v>
      </c>
      <c r="B2" s="57" t="s">
        <v>76</v>
      </c>
      <c r="C2" s="59">
        <f>'Soot Data'!AB14</f>
        <v>8.1699999999999995E-2</v>
      </c>
      <c r="D2" s="59">
        <f>'Soot Data'!AC14</f>
        <v>0.50660000000000005</v>
      </c>
      <c r="F2" s="76" t="s">
        <v>147</v>
      </c>
      <c r="G2" s="77"/>
      <c r="H2" s="78"/>
      <c r="I2" s="76" t="s">
        <v>150</v>
      </c>
      <c r="J2" s="77"/>
      <c r="K2" s="78"/>
      <c r="M2" s="76" t="s">
        <v>147</v>
      </c>
      <c r="N2" s="77"/>
      <c r="O2" s="78"/>
      <c r="P2" s="76" t="s">
        <v>150</v>
      </c>
      <c r="Q2" s="77"/>
      <c r="R2" s="78"/>
    </row>
    <row r="3" spans="1:18" x14ac:dyDescent="0.2">
      <c r="A3" s="3" t="s">
        <v>78</v>
      </c>
      <c r="B3" s="57" t="s">
        <v>76</v>
      </c>
      <c r="C3" s="59">
        <f>'Soot Data'!AB15</f>
        <v>6.6799999999999998E-2</v>
      </c>
      <c r="D3" s="59">
        <f>'Soot Data'!AC15</f>
        <v>0.50460000000000005</v>
      </c>
      <c r="E3" s="62"/>
      <c r="F3" s="79">
        <f>AVERAGE(C2:C4)</f>
        <v>5.2799999999999993E-2</v>
      </c>
      <c r="G3" s="80">
        <f>STDEV(C2:C4)</f>
        <v>3.7892083605945988E-2</v>
      </c>
      <c r="H3" s="88">
        <f>G3/F3</f>
        <v>0.71765309859746196</v>
      </c>
      <c r="I3" s="85"/>
      <c r="J3" s="3"/>
      <c r="K3" s="86"/>
      <c r="M3" s="79">
        <f>AVERAGE(D2:D4)</f>
        <v>0.51186666666666669</v>
      </c>
      <c r="N3" s="80">
        <f>STDEV(D2:D4)</f>
        <v>1.0900152904126274E-2</v>
      </c>
      <c r="O3" s="88">
        <f>N3/M3</f>
        <v>2.129490668948868E-2</v>
      </c>
      <c r="P3" s="85"/>
      <c r="Q3" s="3"/>
      <c r="R3" s="86"/>
    </row>
    <row r="4" spans="1:18" x14ac:dyDescent="0.2">
      <c r="A4" s="3" t="s">
        <v>79</v>
      </c>
      <c r="B4" s="57" t="s">
        <v>76</v>
      </c>
      <c r="C4" s="59">
        <f>'Soot Data'!AB16</f>
        <v>9.9000000000000008E-3</v>
      </c>
      <c r="D4" s="59">
        <f>'Soot Data'!AC16</f>
        <v>0.52439999999999998</v>
      </c>
      <c r="F4" s="82"/>
      <c r="G4" s="83"/>
      <c r="H4" s="84"/>
      <c r="I4" s="85"/>
      <c r="J4" s="3"/>
      <c r="K4" s="86"/>
      <c r="M4" s="82"/>
      <c r="N4" s="83"/>
      <c r="O4" s="84"/>
      <c r="P4" s="85"/>
      <c r="Q4" s="3"/>
      <c r="R4" s="86"/>
    </row>
    <row r="5" spans="1:18" x14ac:dyDescent="0.2">
      <c r="A5" s="3" t="s">
        <v>81</v>
      </c>
      <c r="B5" s="57" t="s">
        <v>80</v>
      </c>
      <c r="C5" s="59">
        <f>'Soot Data'!AB17</f>
        <v>5.2299999999999999E-2</v>
      </c>
      <c r="D5" s="59">
        <f>'Soot Data'!AC17</f>
        <v>0.5232</v>
      </c>
      <c r="F5" s="76" t="s">
        <v>148</v>
      </c>
      <c r="G5" s="77"/>
      <c r="H5" s="78"/>
      <c r="I5" s="79">
        <f>AVERAGE(C2:C10)</f>
        <v>6.0966666666666662E-2</v>
      </c>
      <c r="J5" s="80">
        <f>STDEV(C2:C10)</f>
        <v>2.7068062361388211E-2</v>
      </c>
      <c r="K5" s="81">
        <f>J5/I5</f>
        <v>0.44398133998996525</v>
      </c>
      <c r="M5" s="76" t="s">
        <v>148</v>
      </c>
      <c r="N5" s="77"/>
      <c r="O5" s="78"/>
      <c r="P5" s="79">
        <f>AVERAGE(D2:D10)</f>
        <v>0.50775555555555563</v>
      </c>
      <c r="Q5" s="80">
        <f>STDEV(D2:D10)</f>
        <v>1.6286506002755077E-2</v>
      </c>
      <c r="R5" s="81">
        <f>Q5/P5</f>
        <v>3.2075485584663589E-2</v>
      </c>
    </row>
    <row r="6" spans="1:18" x14ac:dyDescent="0.2">
      <c r="A6" s="3" t="s">
        <v>82</v>
      </c>
      <c r="B6" s="57" t="s">
        <v>80</v>
      </c>
      <c r="C6" s="59">
        <f>'Soot Data'!AB18</f>
        <v>9.0700000000000003E-2</v>
      </c>
      <c r="D6" s="59">
        <f>'Soot Data'!AC18</f>
        <v>0.49080000000000001</v>
      </c>
      <c r="E6" s="62"/>
      <c r="F6" s="85"/>
      <c r="G6" s="3"/>
      <c r="H6" s="86"/>
      <c r="I6" s="85"/>
      <c r="J6" s="3"/>
      <c r="K6" s="86"/>
      <c r="M6" s="85"/>
      <c r="N6" s="3"/>
      <c r="O6" s="86"/>
      <c r="P6" s="85"/>
      <c r="Q6" s="3"/>
      <c r="R6" s="86"/>
    </row>
    <row r="7" spans="1:18" x14ac:dyDescent="0.2">
      <c r="A7" s="3" t="s">
        <v>83</v>
      </c>
      <c r="B7" s="57" t="s">
        <v>80</v>
      </c>
      <c r="C7" s="59">
        <f>'Soot Data'!AB19</f>
        <v>2.9899999999999999E-2</v>
      </c>
      <c r="D7" s="59">
        <f>'Soot Data'!AC19</f>
        <v>0.52159999999999995</v>
      </c>
      <c r="F7" s="79">
        <f>AVERAGE(C5:C10)</f>
        <v>6.5050000000000011E-2</v>
      </c>
      <c r="G7" s="87">
        <f>STDEV(C5:C10)</f>
        <v>2.3193512023839753E-2</v>
      </c>
      <c r="H7" s="88">
        <f>G7/F7</f>
        <v>0.35654899344872787</v>
      </c>
      <c r="I7" s="85"/>
      <c r="J7" s="3"/>
      <c r="K7" s="86"/>
      <c r="M7" s="79">
        <f>AVERAGE(D5:D10)</f>
        <v>0.50569999999999993</v>
      </c>
      <c r="N7" s="87">
        <f>STDEV(C5:C10)</f>
        <v>2.3193512023839753E-2</v>
      </c>
      <c r="O7" s="88">
        <f>N7/M7</f>
        <v>4.586417248139165E-2</v>
      </c>
      <c r="P7" s="85"/>
      <c r="Q7" s="3"/>
      <c r="R7" s="86"/>
    </row>
    <row r="8" spans="1:18" x14ac:dyDescent="0.2">
      <c r="A8" s="3" t="s">
        <v>85</v>
      </c>
      <c r="B8" s="57" t="s">
        <v>84</v>
      </c>
      <c r="C8" s="59">
        <f>'Soot Data'!AB20</f>
        <v>8.1799999999999998E-2</v>
      </c>
      <c r="D8" s="59">
        <f>'Soot Data'!AC20</f>
        <v>0.48770000000000002</v>
      </c>
      <c r="F8" s="85"/>
      <c r="G8" s="3"/>
      <c r="H8" s="86"/>
      <c r="I8" s="85"/>
      <c r="J8" s="3"/>
      <c r="K8" s="86"/>
      <c r="M8" s="85"/>
      <c r="N8" s="3"/>
      <c r="O8" s="86"/>
      <c r="P8" s="85"/>
      <c r="Q8" s="3"/>
      <c r="R8" s="86"/>
    </row>
    <row r="9" spans="1:18" x14ac:dyDescent="0.2">
      <c r="A9" s="3" t="s">
        <v>86</v>
      </c>
      <c r="B9" s="57" t="s">
        <v>84</v>
      </c>
      <c r="C9" s="59">
        <f>'Soot Data'!AB21</f>
        <v>8.0799999999999997E-2</v>
      </c>
      <c r="D9" s="59">
        <f>'Soot Data'!AC21</f>
        <v>0.48670000000000002</v>
      </c>
      <c r="E9" s="62"/>
      <c r="F9" s="85"/>
      <c r="G9" s="3"/>
      <c r="H9" s="86"/>
      <c r="I9" s="85"/>
      <c r="J9" s="3"/>
      <c r="K9" s="86"/>
      <c r="M9" s="85"/>
      <c r="N9" s="3"/>
      <c r="O9" s="86"/>
      <c r="P9" s="85"/>
      <c r="Q9" s="3"/>
      <c r="R9" s="86"/>
    </row>
    <row r="10" spans="1:18" x14ac:dyDescent="0.2">
      <c r="A10" s="3" t="s">
        <v>87</v>
      </c>
      <c r="B10" s="57" t="s">
        <v>84</v>
      </c>
      <c r="C10" s="59">
        <f>'Soot Data'!AB22</f>
        <v>5.4800000000000001E-2</v>
      </c>
      <c r="D10" s="59">
        <f>'Soot Data'!AC22</f>
        <v>0.5242</v>
      </c>
      <c r="F10" s="82"/>
      <c r="G10" s="83"/>
      <c r="H10" s="84"/>
      <c r="I10" s="82"/>
      <c r="J10" s="83"/>
      <c r="K10" s="84"/>
      <c r="M10" s="82"/>
      <c r="N10" s="83"/>
      <c r="O10" s="84"/>
      <c r="P10" s="82"/>
      <c r="Q10" s="83"/>
      <c r="R10" s="84"/>
    </row>
    <row r="11" spans="1:18" x14ac:dyDescent="0.2">
      <c r="A11" s="3" t="s">
        <v>93</v>
      </c>
      <c r="B11" s="57" t="s">
        <v>96</v>
      </c>
      <c r="C11" s="59">
        <f>'Soot Data'!AB26</f>
        <v>0.2084</v>
      </c>
      <c r="D11" s="59">
        <f>'Soot Data'!AC26</f>
        <v>0.40889999999999999</v>
      </c>
      <c r="F11" s="76" t="s">
        <v>149</v>
      </c>
      <c r="G11" s="77"/>
      <c r="H11" s="77"/>
      <c r="I11" s="76" t="s">
        <v>149</v>
      </c>
      <c r="J11" s="77"/>
      <c r="K11" s="78"/>
      <c r="M11" s="76" t="s">
        <v>149</v>
      </c>
      <c r="N11" s="77"/>
      <c r="O11" s="77"/>
      <c r="P11" s="76" t="s">
        <v>149</v>
      </c>
      <c r="Q11" s="77"/>
      <c r="R11" s="78"/>
    </row>
    <row r="12" spans="1:18" x14ac:dyDescent="0.2">
      <c r="A12" s="3" t="s">
        <v>94</v>
      </c>
      <c r="B12" s="57" t="s">
        <v>96</v>
      </c>
      <c r="C12" s="59">
        <f>'Soot Data'!AB27</f>
        <v>0.21229999999999999</v>
      </c>
      <c r="D12" s="59">
        <f>'Soot Data'!AC27</f>
        <v>0.40589999999999998</v>
      </c>
      <c r="E12" s="62"/>
      <c r="F12" s="85"/>
      <c r="G12" s="3"/>
      <c r="H12" s="3"/>
      <c r="I12" s="85"/>
      <c r="J12" s="3"/>
      <c r="K12" s="86"/>
      <c r="M12" s="85"/>
      <c r="N12" s="3"/>
      <c r="O12" s="3"/>
      <c r="P12" s="85"/>
      <c r="Q12" s="3"/>
      <c r="R12" s="86"/>
    </row>
    <row r="13" spans="1:18" x14ac:dyDescent="0.2">
      <c r="A13" s="3" t="s">
        <v>95</v>
      </c>
      <c r="B13" s="57" t="s">
        <v>96</v>
      </c>
      <c r="C13" s="59">
        <f>'Soot Data'!AB28</f>
        <v>0.21</v>
      </c>
      <c r="D13" s="59">
        <f>'Soot Data'!AC28</f>
        <v>0.40389999999999998</v>
      </c>
      <c r="F13" s="85"/>
      <c r="G13" s="3"/>
      <c r="H13" s="3"/>
      <c r="I13" s="85"/>
      <c r="J13" s="3"/>
      <c r="K13" s="86"/>
      <c r="M13" s="85"/>
      <c r="N13" s="3"/>
      <c r="O13" s="3"/>
      <c r="P13" s="85"/>
      <c r="Q13" s="3"/>
      <c r="R13" s="86"/>
    </row>
    <row r="14" spans="1:18" x14ac:dyDescent="0.2">
      <c r="A14" s="3" t="s">
        <v>89</v>
      </c>
      <c r="B14" s="57" t="s">
        <v>100</v>
      </c>
      <c r="C14" s="59">
        <f>'Soot Data'!AB23</f>
        <v>0.2152</v>
      </c>
      <c r="D14" s="59">
        <f>'Soot Data'!AC23</f>
        <v>0.39340000000000003</v>
      </c>
      <c r="F14" s="85"/>
      <c r="G14" s="3"/>
      <c r="H14" s="3"/>
      <c r="I14" s="85"/>
      <c r="J14" s="3"/>
      <c r="K14" s="86"/>
      <c r="M14" s="85"/>
      <c r="N14" s="3"/>
      <c r="O14" s="3"/>
      <c r="P14" s="85"/>
      <c r="Q14" s="3"/>
      <c r="R14" s="86"/>
    </row>
    <row r="15" spans="1:18" x14ac:dyDescent="0.2">
      <c r="A15" s="3" t="s">
        <v>90</v>
      </c>
      <c r="B15" s="57" t="s">
        <v>100</v>
      </c>
      <c r="C15" s="59">
        <f>'Soot Data'!AB24</f>
        <v>0.21010000000000001</v>
      </c>
      <c r="D15" s="59">
        <f>'Soot Data'!AC24</f>
        <v>0.40620000000000001</v>
      </c>
      <c r="E15" s="62"/>
      <c r="F15" s="85"/>
      <c r="G15" s="3"/>
      <c r="H15" s="3"/>
      <c r="I15" s="85"/>
      <c r="J15" s="3"/>
      <c r="K15" s="86"/>
      <c r="M15" s="85"/>
      <c r="N15" s="3"/>
      <c r="O15" s="3"/>
      <c r="P15" s="85"/>
      <c r="Q15" s="3"/>
      <c r="R15" s="86"/>
    </row>
    <row r="16" spans="1:18" x14ac:dyDescent="0.2">
      <c r="A16" s="3" t="s">
        <v>91</v>
      </c>
      <c r="B16" s="57" t="s">
        <v>100</v>
      </c>
      <c r="C16" s="59">
        <f>'Soot Data'!AB25</f>
        <v>0.20780000000000001</v>
      </c>
      <c r="D16" s="59">
        <f>'Soot Data'!AC25</f>
        <v>0.4073</v>
      </c>
      <c r="F16" s="79">
        <f>AVERAGE(C11:C22)</f>
        <v>0.21965833333333329</v>
      </c>
      <c r="G16" s="87">
        <f>STDEV(C11:C22)</f>
        <v>1.0284450604792862E-2</v>
      </c>
      <c r="H16" s="88">
        <f>G16/F16</f>
        <v>4.6820215963243816E-2</v>
      </c>
      <c r="I16" s="79">
        <f>F16</f>
        <v>0.21965833333333329</v>
      </c>
      <c r="J16" s="80">
        <f t="shared" ref="J16:K16" si="0">G16</f>
        <v>1.0284450604792862E-2</v>
      </c>
      <c r="K16" s="81">
        <f t="shared" si="0"/>
        <v>4.6820215963243816E-2</v>
      </c>
      <c r="M16" s="79">
        <f>AVERAGE(D11:D22)</f>
        <v>0.39173333333333343</v>
      </c>
      <c r="N16" s="87">
        <f>STDEV(D11:D22)</f>
        <v>1.3691824590099761E-2</v>
      </c>
      <c r="O16" s="88">
        <f>N16/M16</f>
        <v>3.4951900757572561E-2</v>
      </c>
      <c r="P16" s="79">
        <f>M16</f>
        <v>0.39173333333333343</v>
      </c>
      <c r="Q16" s="80">
        <f t="shared" ref="Q16" si="1">N16</f>
        <v>1.3691824590099761E-2</v>
      </c>
      <c r="R16" s="81">
        <f t="shared" ref="R16" si="2">O16</f>
        <v>3.4951900757572561E-2</v>
      </c>
    </row>
    <row r="17" spans="1:18" x14ac:dyDescent="0.2">
      <c r="A17" s="3" t="s">
        <v>97</v>
      </c>
      <c r="B17" s="57" t="s">
        <v>92</v>
      </c>
      <c r="C17" s="59">
        <f>'Soot Data'!AB29</f>
        <v>0.23930000000000001</v>
      </c>
      <c r="D17" s="59">
        <f>'Soot Data'!AC29</f>
        <v>0.37540000000000001</v>
      </c>
      <c r="F17" s="85"/>
      <c r="G17" s="3"/>
      <c r="H17" s="3"/>
      <c r="I17" s="85"/>
      <c r="J17" s="3"/>
      <c r="K17" s="86"/>
      <c r="M17" s="85"/>
      <c r="N17" s="3"/>
      <c r="O17" s="3"/>
      <c r="P17" s="85"/>
      <c r="Q17" s="3"/>
      <c r="R17" s="86"/>
    </row>
    <row r="18" spans="1:18" x14ac:dyDescent="0.2">
      <c r="A18" s="3" t="s">
        <v>98</v>
      </c>
      <c r="B18" s="57" t="s">
        <v>92</v>
      </c>
      <c r="C18" s="59">
        <f>'Soot Data'!AB30</f>
        <v>0.2266</v>
      </c>
      <c r="D18" s="59">
        <f>'Soot Data'!AC30</f>
        <v>0.38090000000000002</v>
      </c>
      <c r="E18" s="62"/>
      <c r="F18" s="85"/>
      <c r="G18" s="3"/>
      <c r="H18" s="3"/>
      <c r="I18" s="85"/>
      <c r="J18" s="3"/>
      <c r="K18" s="86"/>
      <c r="M18" s="85"/>
      <c r="N18" s="3"/>
      <c r="O18" s="3"/>
      <c r="P18" s="85"/>
      <c r="Q18" s="3"/>
      <c r="R18" s="86"/>
    </row>
    <row r="19" spans="1:18" x14ac:dyDescent="0.2">
      <c r="A19" s="3" t="s">
        <v>99</v>
      </c>
      <c r="B19" s="57" t="s">
        <v>92</v>
      </c>
      <c r="C19" s="59">
        <f>'Soot Data'!AB31</f>
        <v>0.22620000000000001</v>
      </c>
      <c r="D19" s="59">
        <f>'Soot Data'!AC31</f>
        <v>0.38129999999999997</v>
      </c>
      <c r="F19" s="85"/>
      <c r="G19" s="3"/>
      <c r="H19" s="3"/>
      <c r="I19" s="85"/>
      <c r="J19" s="3"/>
      <c r="K19" s="86"/>
      <c r="M19" s="85"/>
      <c r="N19" s="3"/>
      <c r="O19" s="3"/>
      <c r="P19" s="85"/>
      <c r="Q19" s="3"/>
      <c r="R19" s="86"/>
    </row>
    <row r="20" spans="1:18" x14ac:dyDescent="0.2">
      <c r="A20" s="3" t="s">
        <v>101</v>
      </c>
      <c r="B20" s="57" t="s">
        <v>88</v>
      </c>
      <c r="C20" s="59">
        <f>'Soot Data'!AB32</f>
        <v>0.2238</v>
      </c>
      <c r="D20" s="59">
        <f>'Soot Data'!AC32</f>
        <v>0.379</v>
      </c>
      <c r="F20" s="85"/>
      <c r="G20" s="3"/>
      <c r="H20" s="3"/>
      <c r="I20" s="85"/>
      <c r="J20" s="3"/>
      <c r="K20" s="86"/>
      <c r="M20" s="85"/>
      <c r="N20" s="3"/>
      <c r="O20" s="3"/>
      <c r="P20" s="85"/>
      <c r="Q20" s="3"/>
      <c r="R20" s="86"/>
    </row>
    <row r="21" spans="1:18" x14ac:dyDescent="0.2">
      <c r="A21" s="3" t="s">
        <v>102</v>
      </c>
      <c r="B21" s="57" t="s">
        <v>88</v>
      </c>
      <c r="C21" s="59">
        <f>'Soot Data'!AB33</f>
        <v>0.2288</v>
      </c>
      <c r="D21" s="59">
        <f>'Soot Data'!AC33</f>
        <v>0.37919999999999998</v>
      </c>
      <c r="E21" s="62"/>
      <c r="F21" s="82"/>
      <c r="G21" s="83"/>
      <c r="H21" s="83"/>
      <c r="I21" s="82"/>
      <c r="J21" s="83"/>
      <c r="K21" s="84"/>
      <c r="M21" s="82"/>
      <c r="N21" s="83"/>
      <c r="O21" s="83"/>
      <c r="P21" s="82"/>
      <c r="Q21" s="83"/>
      <c r="R21" s="84"/>
    </row>
    <row r="22" spans="1:18" x14ac:dyDescent="0.2">
      <c r="A22" s="3" t="s">
        <v>103</v>
      </c>
      <c r="B22" s="57" t="s">
        <v>88</v>
      </c>
      <c r="C22" s="59">
        <f>'Soot Data'!AB34</f>
        <v>0.22739999999999999</v>
      </c>
      <c r="D22" s="59">
        <f>'Soot Data'!AC34</f>
        <v>0.37940000000000002</v>
      </c>
    </row>
    <row r="24" spans="1:18" x14ac:dyDescent="0.2">
      <c r="L24" s="62">
        <f>(I16-I5)/(AVERAGE(I5,I16))</f>
        <v>1.1309873793615439</v>
      </c>
      <c r="Q24" s="62">
        <f>(Q16-Q5)/(AVERAGE(Q5,Q16))</f>
        <v>-0.17310379606486448</v>
      </c>
    </row>
    <row r="40" spans="3:24" x14ac:dyDescent="0.2">
      <c r="E40" s="59"/>
    </row>
    <row r="41" spans="3:24" x14ac:dyDescent="0.2">
      <c r="C41" s="3"/>
      <c r="D41" s="57"/>
      <c r="E41" s="59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</row>
    <row r="42" spans="3:24" x14ac:dyDescent="0.2"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3:24" x14ac:dyDescent="0.2"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</row>
    <row r="52" spans="18:20" x14ac:dyDescent="0.2">
      <c r="R52" s="3"/>
      <c r="S52" s="59"/>
      <c r="T52" s="59"/>
    </row>
    <row r="53" spans="18:20" x14ac:dyDescent="0.2">
      <c r="R53" s="57"/>
      <c r="S53" s="59"/>
      <c r="T53" s="59"/>
    </row>
  </sheetData>
  <sortState xmlns:xlrd2="http://schemas.microsoft.com/office/spreadsheetml/2017/richdata2" ref="A2:D22">
    <sortCondition ref="B2:B22"/>
    <sortCondition ref="A2:A2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AE45-F55E-4B48-9663-7BE95365C694}">
  <dimension ref="A1:E24"/>
  <sheetViews>
    <sheetView workbookViewId="0">
      <selection activeCell="E33" sqref="E33"/>
    </sheetView>
  </sheetViews>
  <sheetFormatPr baseColWidth="10" defaultRowHeight="16" x14ac:dyDescent="0.2"/>
  <cols>
    <col min="1" max="1" width="20.33203125" bestFit="1" customWidth="1"/>
    <col min="2" max="2" width="5.83203125" bestFit="1" customWidth="1"/>
    <col min="5" max="5" width="19" bestFit="1" customWidth="1"/>
  </cols>
  <sheetData>
    <row r="1" spans="1:5" x14ac:dyDescent="0.2">
      <c r="A1" s="3" t="s">
        <v>104</v>
      </c>
      <c r="B1" s="3" t="s">
        <v>105</v>
      </c>
      <c r="C1" s="59" t="str">
        <f>'Soot Data'!AE1</f>
        <v>x-min (G)</v>
      </c>
      <c r="D1" s="59" t="str">
        <f>'Soot Data'!AF1</f>
        <v>x-max (G)</v>
      </c>
      <c r="E1" s="59" t="str">
        <f>'Soot Data'!AG1</f>
        <v>Integration Width (G)</v>
      </c>
    </row>
    <row r="2" spans="1:5" x14ac:dyDescent="0.2">
      <c r="A2" s="3" t="s">
        <v>77</v>
      </c>
      <c r="B2" s="57" t="s">
        <v>76</v>
      </c>
      <c r="C2" s="59">
        <f>'Soot Data'!AE14</f>
        <v>3412.6666666666665</v>
      </c>
      <c r="D2" s="59">
        <f>'Soot Data'!AF14</f>
        <v>3479.6666666666665</v>
      </c>
      <c r="E2" s="68">
        <f>'Soot Data'!AG14</f>
        <v>67</v>
      </c>
    </row>
    <row r="3" spans="1:5" x14ac:dyDescent="0.2">
      <c r="A3" s="3" t="s">
        <v>78</v>
      </c>
      <c r="B3" s="57" t="s">
        <v>76</v>
      </c>
      <c r="C3" s="59">
        <f>'Soot Data'!AE15</f>
        <v>3406</v>
      </c>
      <c r="D3" s="59">
        <f>'Soot Data'!AF15</f>
        <v>3483.3333333333335</v>
      </c>
      <c r="E3" s="68">
        <f>'Soot Data'!AG15</f>
        <v>77.333333333333485</v>
      </c>
    </row>
    <row r="4" spans="1:5" x14ac:dyDescent="0.2">
      <c r="A4" s="3" t="s">
        <v>79</v>
      </c>
      <c r="B4" s="57" t="s">
        <v>76</v>
      </c>
      <c r="C4" s="59">
        <f>'Soot Data'!AE16</f>
        <v>3411</v>
      </c>
      <c r="D4" s="59">
        <f>'Soot Data'!AF16</f>
        <v>3479</v>
      </c>
      <c r="E4" s="68">
        <f>'Soot Data'!AG16</f>
        <v>68</v>
      </c>
    </row>
    <row r="5" spans="1:5" x14ac:dyDescent="0.2">
      <c r="A5" s="3" t="s">
        <v>81</v>
      </c>
      <c r="B5" s="57" t="s">
        <v>80</v>
      </c>
      <c r="C5" s="59">
        <f>'Soot Data'!AE17</f>
        <v>3411</v>
      </c>
      <c r="D5" s="59">
        <f>'Soot Data'!AF17</f>
        <v>3481</v>
      </c>
      <c r="E5" s="68">
        <f>'Soot Data'!AG17</f>
        <v>70</v>
      </c>
    </row>
    <row r="6" spans="1:5" x14ac:dyDescent="0.2">
      <c r="A6" s="3" t="s">
        <v>82</v>
      </c>
      <c r="B6" s="57" t="s">
        <v>80</v>
      </c>
      <c r="C6" s="59">
        <f>'Soot Data'!AE18</f>
        <v>3408</v>
      </c>
      <c r="D6" s="59">
        <f>'Soot Data'!AF18</f>
        <v>3480.6666666666665</v>
      </c>
      <c r="E6" s="68">
        <f>'Soot Data'!AG18</f>
        <v>72.666666666666515</v>
      </c>
    </row>
    <row r="7" spans="1:5" x14ac:dyDescent="0.2">
      <c r="A7" s="3" t="s">
        <v>83</v>
      </c>
      <c r="B7" s="57" t="s">
        <v>80</v>
      </c>
      <c r="C7" s="59">
        <f>'Soot Data'!AE19</f>
        <v>3410</v>
      </c>
      <c r="D7" s="59">
        <f>'Soot Data'!AF19</f>
        <v>3479.6666666666665</v>
      </c>
      <c r="E7" s="68">
        <f>'Soot Data'!AG19</f>
        <v>69.666666666666515</v>
      </c>
    </row>
    <row r="8" spans="1:5" x14ac:dyDescent="0.2">
      <c r="A8" s="3" t="s">
        <v>85</v>
      </c>
      <c r="B8" s="57" t="s">
        <v>84</v>
      </c>
      <c r="C8" s="59">
        <f>'Soot Data'!AE20</f>
        <v>3411</v>
      </c>
      <c r="D8" s="59">
        <f>'Soot Data'!AF20</f>
        <v>3479</v>
      </c>
      <c r="E8" s="68">
        <f>'Soot Data'!AG20</f>
        <v>68</v>
      </c>
    </row>
    <row r="9" spans="1:5" x14ac:dyDescent="0.2">
      <c r="A9" s="3" t="s">
        <v>86</v>
      </c>
      <c r="B9" s="57" t="s">
        <v>84</v>
      </c>
      <c r="C9" s="59">
        <f>'Soot Data'!AE21</f>
        <v>3408.3333333333335</v>
      </c>
      <c r="D9" s="59">
        <f>'Soot Data'!AF21</f>
        <v>3479.6666666666665</v>
      </c>
      <c r="E9" s="68">
        <f>'Soot Data'!AG21</f>
        <v>71.33333333333303</v>
      </c>
    </row>
    <row r="10" spans="1:5" x14ac:dyDescent="0.2">
      <c r="A10" s="3" t="s">
        <v>87</v>
      </c>
      <c r="B10" s="57" t="s">
        <v>84</v>
      </c>
      <c r="C10" s="59">
        <f>'Soot Data'!AE22</f>
        <v>3407</v>
      </c>
      <c r="D10" s="59">
        <f>'Soot Data'!AF22</f>
        <v>3482.3333333333335</v>
      </c>
      <c r="E10" s="68">
        <f>'Soot Data'!AG22</f>
        <v>75.333333333333485</v>
      </c>
    </row>
    <row r="11" spans="1:5" x14ac:dyDescent="0.2">
      <c r="A11" s="3" t="s">
        <v>97</v>
      </c>
      <c r="B11" s="57" t="s">
        <v>96</v>
      </c>
      <c r="C11" s="59">
        <f>'Soot Data'!AE29</f>
        <v>3420</v>
      </c>
      <c r="D11" s="59">
        <f>'Soot Data'!AF29</f>
        <v>3475.6666666666665</v>
      </c>
      <c r="E11" s="68">
        <f>'Soot Data'!AG29</f>
        <v>55.666666666666515</v>
      </c>
    </row>
    <row r="12" spans="1:5" x14ac:dyDescent="0.2">
      <c r="A12" s="3" t="s">
        <v>98</v>
      </c>
      <c r="B12" s="57" t="s">
        <v>96</v>
      </c>
      <c r="C12" s="59">
        <f>'Soot Data'!AE30</f>
        <v>3417</v>
      </c>
      <c r="D12" s="59">
        <f>'Soot Data'!AF30</f>
        <v>3477</v>
      </c>
      <c r="E12" s="68">
        <f>'Soot Data'!AG30</f>
        <v>60</v>
      </c>
    </row>
    <row r="13" spans="1:5" x14ac:dyDescent="0.2">
      <c r="A13" s="3" t="s">
        <v>99</v>
      </c>
      <c r="B13" s="57" t="s">
        <v>96</v>
      </c>
      <c r="C13" s="59">
        <f>'Soot Data'!AE31</f>
        <v>3409.6666666666665</v>
      </c>
      <c r="D13" s="59">
        <f>'Soot Data'!AF31</f>
        <v>3482</v>
      </c>
      <c r="E13" s="68">
        <f>'Soot Data'!AG31</f>
        <v>72.333333333333485</v>
      </c>
    </row>
    <row r="14" spans="1:5" x14ac:dyDescent="0.2">
      <c r="A14" s="3" t="s">
        <v>101</v>
      </c>
      <c r="B14" s="57" t="s">
        <v>100</v>
      </c>
      <c r="C14" s="59">
        <f>'Soot Data'!AE32</f>
        <v>3409.6666666666665</v>
      </c>
      <c r="D14" s="59">
        <f>'Soot Data'!AF32</f>
        <v>3479.6666666666665</v>
      </c>
      <c r="E14" s="68">
        <f>'Soot Data'!AG32</f>
        <v>70</v>
      </c>
    </row>
    <row r="15" spans="1:5" x14ac:dyDescent="0.2">
      <c r="A15" s="3" t="s">
        <v>102</v>
      </c>
      <c r="B15" s="57" t="s">
        <v>100</v>
      </c>
      <c r="C15" s="59">
        <f>'Soot Data'!AE33</f>
        <v>3409</v>
      </c>
      <c r="D15" s="59">
        <f>'Soot Data'!AF33</f>
        <v>3485.6666666666665</v>
      </c>
      <c r="E15" s="68">
        <f>'Soot Data'!AG33</f>
        <v>76.666666666666515</v>
      </c>
    </row>
    <row r="16" spans="1:5" x14ac:dyDescent="0.2">
      <c r="A16" s="3" t="s">
        <v>103</v>
      </c>
      <c r="B16" s="57" t="s">
        <v>100</v>
      </c>
      <c r="C16" s="59">
        <f>'Soot Data'!AE34</f>
        <v>3414.6666666666665</v>
      </c>
      <c r="D16" s="59">
        <f>'Soot Data'!AF34</f>
        <v>3476</v>
      </c>
      <c r="E16" s="68">
        <f>'Soot Data'!AG34</f>
        <v>61.333333333333485</v>
      </c>
    </row>
    <row r="17" spans="1:5" x14ac:dyDescent="0.2">
      <c r="A17" s="3" t="s">
        <v>93</v>
      </c>
      <c r="B17" s="57" t="s">
        <v>92</v>
      </c>
      <c r="C17" s="59">
        <f>'Soot Data'!AE26</f>
        <v>3410.3333333333335</v>
      </c>
      <c r="D17" s="59">
        <f>'Soot Data'!AF26</f>
        <v>3481.6666666666665</v>
      </c>
      <c r="E17" s="68">
        <f>'Soot Data'!AG26</f>
        <v>71.33333333333303</v>
      </c>
    </row>
    <row r="18" spans="1:5" x14ac:dyDescent="0.2">
      <c r="A18" s="3" t="s">
        <v>94</v>
      </c>
      <c r="B18" s="57" t="s">
        <v>92</v>
      </c>
      <c r="C18" s="59">
        <f>'Soot Data'!AE27</f>
        <v>3416</v>
      </c>
      <c r="D18" s="59">
        <f>'Soot Data'!AF27</f>
        <v>3477</v>
      </c>
      <c r="E18" s="68">
        <f>'Soot Data'!AG27</f>
        <v>61</v>
      </c>
    </row>
    <row r="19" spans="1:5" x14ac:dyDescent="0.2">
      <c r="A19" s="3" t="s">
        <v>95</v>
      </c>
      <c r="B19" s="57" t="s">
        <v>92</v>
      </c>
      <c r="C19" s="59">
        <f>'Soot Data'!AE28</f>
        <v>3414</v>
      </c>
      <c r="D19" s="59">
        <f>'Soot Data'!AF28</f>
        <v>3477</v>
      </c>
      <c r="E19" s="68">
        <f>'Soot Data'!AG28</f>
        <v>63</v>
      </c>
    </row>
    <row r="20" spans="1:5" x14ac:dyDescent="0.2">
      <c r="A20" s="3" t="s">
        <v>89</v>
      </c>
      <c r="B20" s="57" t="s">
        <v>88</v>
      </c>
      <c r="C20" s="59">
        <f>'Soot Data'!AE23</f>
        <v>3410.3333333333335</v>
      </c>
      <c r="D20" s="59">
        <f>'Soot Data'!AF23</f>
        <v>3482.3333333333335</v>
      </c>
      <c r="E20" s="68">
        <f>'Soot Data'!AG23</f>
        <v>72</v>
      </c>
    </row>
    <row r="21" spans="1:5" x14ac:dyDescent="0.2">
      <c r="A21" s="3" t="s">
        <v>90</v>
      </c>
      <c r="B21" s="57" t="s">
        <v>88</v>
      </c>
      <c r="C21" s="59">
        <f>'Soot Data'!AE24</f>
        <v>3415</v>
      </c>
      <c r="D21" s="59">
        <f>'Soot Data'!AF24</f>
        <v>3477.3333333333335</v>
      </c>
      <c r="E21" s="68">
        <f>'Soot Data'!AG24</f>
        <v>62.333333333333485</v>
      </c>
    </row>
    <row r="22" spans="1:5" x14ac:dyDescent="0.2">
      <c r="A22" s="3" t="s">
        <v>91</v>
      </c>
      <c r="B22" s="57" t="s">
        <v>88</v>
      </c>
      <c r="C22" s="59">
        <f>'Soot Data'!AE25</f>
        <v>3412.6666666666665</v>
      </c>
      <c r="D22" s="59">
        <f>'Soot Data'!AF25</f>
        <v>3481.3333333333335</v>
      </c>
      <c r="E22" s="68">
        <f>'Soot Data'!AG25</f>
        <v>68.66666666666697</v>
      </c>
    </row>
    <row r="24" spans="1:5" x14ac:dyDescent="0.2">
      <c r="C24" s="1">
        <f>AVERAGE(C2:C22)</f>
        <v>3411.5873015873012</v>
      </c>
      <c r="D24" s="1">
        <f>AVERAGE(D2:D22)</f>
        <v>3479.8571428571422</v>
      </c>
      <c r="E24" s="1">
        <f>AVERAGE(E2:E22)</f>
        <v>68.269841269841265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18420-BAE4-F44B-8CDD-676F97A3B8AD}">
  <dimension ref="A1:H47"/>
  <sheetViews>
    <sheetView zoomScale="99" workbookViewId="0">
      <selection activeCell="G29" sqref="G29"/>
    </sheetView>
  </sheetViews>
  <sheetFormatPr baseColWidth="10" defaultRowHeight="16" x14ac:dyDescent="0.2"/>
  <cols>
    <col min="1" max="1" width="20.33203125" bestFit="1" customWidth="1"/>
    <col min="2" max="2" width="10.33203125" bestFit="1" customWidth="1"/>
    <col min="3" max="3" width="17.6640625" style="2" bestFit="1" customWidth="1"/>
    <col min="4" max="4" width="8.6640625" style="2" bestFit="1" customWidth="1"/>
  </cols>
  <sheetData>
    <row r="1" spans="1:8" x14ac:dyDescent="0.2">
      <c r="A1" s="3" t="s">
        <v>104</v>
      </c>
      <c r="B1" s="3" t="s">
        <v>106</v>
      </c>
      <c r="C1" s="60" t="str">
        <f>'Soot Data'!AN1</f>
        <v>spins mg-1</v>
      </c>
      <c r="D1" s="60" t="str">
        <f>'Soot Data'!AO1</f>
        <v>Std. Dev.</v>
      </c>
      <c r="E1" s="60" t="str">
        <f>'Soot Data'!AP1</f>
        <v>%RSD</v>
      </c>
    </row>
    <row r="2" spans="1:8" x14ac:dyDescent="0.2">
      <c r="A2" s="3" t="s">
        <v>77</v>
      </c>
      <c r="B2" s="57" t="s">
        <v>76</v>
      </c>
      <c r="C2" s="60">
        <f>'Soot Data'!AN14</f>
        <v>3.2354545454541672E+16</v>
      </c>
      <c r="D2" s="60">
        <f>'Soot Data'!AO14</f>
        <v>125830573921175.56</v>
      </c>
      <c r="E2" s="61">
        <f>'Soot Data'!AP14</f>
        <v>3.8891157997558105E-3</v>
      </c>
    </row>
    <row r="3" spans="1:8" x14ac:dyDescent="0.2">
      <c r="A3" s="3" t="s">
        <v>78</v>
      </c>
      <c r="B3" s="57" t="s">
        <v>76</v>
      </c>
      <c r="C3" s="60">
        <f>'Soot Data'!AN15</f>
        <v>3.5033333333331356E+16</v>
      </c>
      <c r="D3" s="60">
        <f>'Soot Data'!AO15</f>
        <v>347518676863905.12</v>
      </c>
      <c r="E3" s="61">
        <f>'Soot Data'!AP15</f>
        <v>9.9196577601500871E-3</v>
      </c>
      <c r="F3" s="2">
        <f>AVERAGE(C2:C4)</f>
        <v>2.8957864357862768E+16</v>
      </c>
      <c r="G3" s="2">
        <f>AVERAGE(D2:D4)</f>
        <v>685844828421510.62</v>
      </c>
      <c r="H3" s="62">
        <f>G3/F3</f>
        <v>2.3684233752386059E-2</v>
      </c>
    </row>
    <row r="4" spans="1:8" x14ac:dyDescent="0.2">
      <c r="A4" s="3" t="s">
        <v>79</v>
      </c>
      <c r="B4" s="57" t="s">
        <v>76</v>
      </c>
      <c r="C4" s="60">
        <f>'Soot Data'!AN16</f>
        <v>1.9485714285715276E+16</v>
      </c>
      <c r="D4" s="60">
        <f>'Soot Data'!AO16</f>
        <v>1584185234479451</v>
      </c>
      <c r="E4" s="61">
        <f>'Soot Data'!AP16</f>
        <v>8.1299828748941302E-2</v>
      </c>
    </row>
    <row r="5" spans="1:8" x14ac:dyDescent="0.2">
      <c r="A5" s="3" t="s">
        <v>81</v>
      </c>
      <c r="B5" s="57" t="s">
        <v>80</v>
      </c>
      <c r="C5" s="60">
        <f>'Soot Data'!AN17</f>
        <v>2.9337500000000176E+16</v>
      </c>
      <c r="D5" s="60">
        <f>'Soot Data'!AO17</f>
        <v>200000000000022</v>
      </c>
      <c r="E5" s="61">
        <f>'Soot Data'!AP17</f>
        <v>6.8172134639973006E-3</v>
      </c>
    </row>
    <row r="6" spans="1:8" x14ac:dyDescent="0.2">
      <c r="A6" s="3" t="s">
        <v>82</v>
      </c>
      <c r="B6" s="57" t="s">
        <v>80</v>
      </c>
      <c r="C6" s="60">
        <f>'Soot Data'!AN18</f>
        <v>3.1577777777776876E+16</v>
      </c>
      <c r="D6" s="60">
        <f>'Soot Data'!AO18</f>
        <v>264575131106414.75</v>
      </c>
      <c r="E6" s="61">
        <f>'Soot Data'!AP18</f>
        <v>8.3785228006959915E-3</v>
      </c>
      <c r="F6" s="2">
        <f>AVERAGE(C5:C7)</f>
        <v>2.9795288671023376E+16</v>
      </c>
      <c r="G6" s="2">
        <f>AVERAGE(D5:D7)</f>
        <v>1540899902788033</v>
      </c>
      <c r="H6" s="62">
        <f>G6/F6</f>
        <v>5.1716226676017898E-2</v>
      </c>
    </row>
    <row r="7" spans="1:8" x14ac:dyDescent="0.2">
      <c r="A7" s="3" t="s">
        <v>83</v>
      </c>
      <c r="B7" s="57" t="s">
        <v>80</v>
      </c>
      <c r="C7" s="60">
        <f>'Soot Data'!AN19</f>
        <v>2.8470588235293072E+16</v>
      </c>
      <c r="D7" s="60">
        <f>'Soot Data'!AO19</f>
        <v>4158124577257662</v>
      </c>
      <c r="E7" s="61">
        <f>'Soot Data'!AP19</f>
        <v>0.14604983019293977</v>
      </c>
    </row>
    <row r="8" spans="1:8" x14ac:dyDescent="0.2">
      <c r="A8" s="3" t="s">
        <v>85</v>
      </c>
      <c r="B8" s="57" t="s">
        <v>84</v>
      </c>
      <c r="C8" s="60">
        <f>'Soot Data'!AN20</f>
        <v>2.570000000000036E+16</v>
      </c>
      <c r="D8" s="60">
        <f>'Soot Data'!AO20</f>
        <v>288675134594804.62</v>
      </c>
      <c r="E8" s="61">
        <f>'Soot Data'!AP20</f>
        <v>1.1232495509525315E-2</v>
      </c>
    </row>
    <row r="9" spans="1:8" x14ac:dyDescent="0.2">
      <c r="A9" s="3" t="s">
        <v>86</v>
      </c>
      <c r="B9" s="57" t="s">
        <v>84</v>
      </c>
      <c r="C9" s="60">
        <f>'Soot Data'!AN21</f>
        <v>3.109393939393968E+16</v>
      </c>
      <c r="D9" s="60">
        <f>'Soot Data'!AO21</f>
        <v>1.5159485479397068E+16</v>
      </c>
      <c r="E9" s="61">
        <f>'Soot Data'!AP21</f>
        <v>0.48753827192291066</v>
      </c>
      <c r="F9" s="2">
        <f>AVERAGE(C8:C10)</f>
        <v>3.345750360750456E+16</v>
      </c>
      <c r="G9" s="2">
        <f>AVERAGE(D8:D10)</f>
        <v>5722632988727935</v>
      </c>
      <c r="H9" s="62">
        <f>G9/F9</f>
        <v>0.17104184029570996</v>
      </c>
    </row>
    <row r="10" spans="1:8" x14ac:dyDescent="0.2">
      <c r="A10" s="3" t="s">
        <v>87</v>
      </c>
      <c r="B10" s="57" t="s">
        <v>84</v>
      </c>
      <c r="C10" s="60">
        <f>'Soot Data'!AN22</f>
        <v>4.357857142857364E+16</v>
      </c>
      <c r="D10" s="60">
        <f>'Soot Data'!AO22</f>
        <v>1719738352191934.5</v>
      </c>
      <c r="E10" s="61">
        <f>'Soot Data'!AP22</f>
        <v>3.9462935470719329E-2</v>
      </c>
    </row>
    <row r="11" spans="1:8" x14ac:dyDescent="0.2">
      <c r="A11" s="3" t="s">
        <v>93</v>
      </c>
      <c r="B11" s="57" t="s">
        <v>96</v>
      </c>
      <c r="C11" s="60">
        <f>'Soot Data'!AN26</f>
        <v>3.1275862068967164E+16</v>
      </c>
      <c r="D11" s="60">
        <f>'Soot Data'!AO26</f>
        <v>781024967590751.5</v>
      </c>
      <c r="E11" s="61">
        <f>'Soot Data'!AP26</f>
        <v>2.4972132370596031E-2</v>
      </c>
    </row>
    <row r="12" spans="1:8" x14ac:dyDescent="0.2">
      <c r="A12" s="3" t="s">
        <v>94</v>
      </c>
      <c r="B12" s="57" t="s">
        <v>96</v>
      </c>
      <c r="C12" s="60">
        <f>'Soot Data'!AN27</f>
        <v>2.86814814814811E+16</v>
      </c>
      <c r="D12" s="60">
        <f>'Soot Data'!AO27</f>
        <v>208166599946607.31</v>
      </c>
      <c r="E12" s="61">
        <f>'Soot Data'!AP27</f>
        <v>7.2578747398740606E-3</v>
      </c>
      <c r="F12" s="2">
        <f>AVERAGE(C11:C13)</f>
        <v>2.9372239516816144E+16</v>
      </c>
      <c r="G12" s="2">
        <f>AVERAGE(D11:D13)</f>
        <v>705378111498544.88</v>
      </c>
      <c r="H12" s="62">
        <f>G12/F12</f>
        <v>2.4015128675997043E-2</v>
      </c>
    </row>
    <row r="13" spans="1:8" x14ac:dyDescent="0.2">
      <c r="A13" s="3" t="s">
        <v>95</v>
      </c>
      <c r="B13" s="57" t="s">
        <v>96</v>
      </c>
      <c r="C13" s="60">
        <f>'Soot Data'!AN28</f>
        <v>2.8159375000000172E+16</v>
      </c>
      <c r="D13" s="60">
        <f>'Soot Data'!AO28</f>
        <v>1126942766958275.8</v>
      </c>
      <c r="E13" s="61">
        <f>'Soot Data'!AP28</f>
        <v>4.002016262641727E-2</v>
      </c>
    </row>
    <row r="14" spans="1:8" x14ac:dyDescent="0.2">
      <c r="A14" s="3" t="s">
        <v>89</v>
      </c>
      <c r="B14" s="57" t="s">
        <v>100</v>
      </c>
      <c r="C14" s="60">
        <f>'Soot Data'!AN23</f>
        <v>2.4227777777777084E+16</v>
      </c>
      <c r="D14" s="60">
        <f>'Soot Data'!AO23</f>
        <v>199999999999966.53</v>
      </c>
      <c r="E14" s="61">
        <f>'Soot Data'!AP23</f>
        <v>8.2549873882125681E-3</v>
      </c>
    </row>
    <row r="15" spans="1:8" x14ac:dyDescent="0.2">
      <c r="A15" s="3" t="s">
        <v>90</v>
      </c>
      <c r="B15" s="57" t="s">
        <v>100</v>
      </c>
      <c r="C15" s="60">
        <f>'Soot Data'!AN24</f>
        <v>3.3728000000000348E+16</v>
      </c>
      <c r="D15" s="60">
        <f>'Soot Data'!AO24</f>
        <v>1153256259467206.5</v>
      </c>
      <c r="E15" s="61">
        <f>'Soot Data'!AP24</f>
        <v>3.4192844505075738E-2</v>
      </c>
      <c r="F15" s="2">
        <f>AVERAGE(C14:C16)</f>
        <v>2.941982716049358E+16</v>
      </c>
      <c r="G15" s="2">
        <f>AVERAGE(D14:D16)</f>
        <v>999821340927443.38</v>
      </c>
      <c r="H15" s="62">
        <f>G15/F15</f>
        <v>3.3984609612868616E-2</v>
      </c>
    </row>
    <row r="16" spans="1:8" x14ac:dyDescent="0.2">
      <c r="A16" s="3" t="s">
        <v>91</v>
      </c>
      <c r="B16" s="57" t="s">
        <v>100</v>
      </c>
      <c r="C16" s="60">
        <f>'Soot Data'!AN25</f>
        <v>3.03037037037033E+16</v>
      </c>
      <c r="D16" s="60">
        <f>'Soot Data'!AO25</f>
        <v>1646207763315157.2</v>
      </c>
      <c r="E16" s="61">
        <f>'Soot Data'!AP25</f>
        <v>5.4323648997200977E-2</v>
      </c>
    </row>
    <row r="17" spans="1:8" x14ac:dyDescent="0.2">
      <c r="A17" s="3" t="s">
        <v>97</v>
      </c>
      <c r="B17" s="57" t="s">
        <v>92</v>
      </c>
      <c r="C17" s="60">
        <f>'Soot Data'!AN29</f>
        <v>2.5815151515151752E+16</v>
      </c>
      <c r="D17" s="60">
        <f>'Soot Data'!AO29</f>
        <v>721110255092877.25</v>
      </c>
      <c r="E17" s="61">
        <f>'Soot Data'!AP29</f>
        <v>2.7933605373946156E-2</v>
      </c>
    </row>
    <row r="18" spans="1:8" x14ac:dyDescent="0.2">
      <c r="A18" s="3" t="s">
        <v>98</v>
      </c>
      <c r="B18" s="57" t="s">
        <v>92</v>
      </c>
      <c r="C18" s="60">
        <f>'Soot Data'!AN30</f>
        <v>2.2943478260869184E+16</v>
      </c>
      <c r="D18" s="60">
        <f>'Soot Data'!AO30</f>
        <v>5957348403441594</v>
      </c>
      <c r="E18" s="61">
        <f>'Soot Data'!AP30</f>
        <v>0.2596532372165225</v>
      </c>
      <c r="F18" s="2">
        <f>AVERAGE(C17:C19)</f>
        <v>2.5325603864734388E+16</v>
      </c>
      <c r="G18" s="2">
        <f>AVERAGE(D17:D19)</f>
        <v>2586708013724545.5</v>
      </c>
      <c r="H18" s="62">
        <f>G18/F18</f>
        <v>0.10213805868323268</v>
      </c>
    </row>
    <row r="19" spans="1:8" x14ac:dyDescent="0.2">
      <c r="A19" s="3" t="s">
        <v>99</v>
      </c>
      <c r="B19" s="57" t="s">
        <v>92</v>
      </c>
      <c r="C19" s="60">
        <f>'Soot Data'!AN31</f>
        <v>2.721818181818224E+16</v>
      </c>
      <c r="D19" s="60">
        <f>'Soot Data'!AO31</f>
        <v>1081665382639165.8</v>
      </c>
      <c r="E19" s="61">
        <f>'Soot Data'!AP31</f>
        <v>3.9740545120342814E-2</v>
      </c>
    </row>
    <row r="20" spans="1:8" x14ac:dyDescent="0.2">
      <c r="A20" s="3" t="s">
        <v>101</v>
      </c>
      <c r="B20" s="57" t="s">
        <v>88</v>
      </c>
      <c r="C20" s="60">
        <f>'Soot Data'!AN32</f>
        <v>2.9279310344827448E+16</v>
      </c>
      <c r="D20" s="60">
        <f>'Soot Data'!AO32</f>
        <v>5483611948341159</v>
      </c>
      <c r="E20" s="61">
        <f>'Soot Data'!AP32</f>
        <v>0.18728624013884626</v>
      </c>
    </row>
    <row r="21" spans="1:8" x14ac:dyDescent="0.2">
      <c r="A21" s="3" t="s">
        <v>102</v>
      </c>
      <c r="B21" s="57" t="s">
        <v>88</v>
      </c>
      <c r="C21" s="60">
        <f>'Soot Data'!AN33</f>
        <v>2.9235483870969392E+16</v>
      </c>
      <c r="D21" s="60">
        <f>'Soot Data'!AO33</f>
        <v>346410161513813.62</v>
      </c>
      <c r="E21" s="61">
        <f>'Soot Data'!AP33</f>
        <v>1.1848962823488487E-2</v>
      </c>
      <c r="F21" s="2">
        <f>AVERAGE(C20:C22)</f>
        <v>2.8215715718990784E+16</v>
      </c>
      <c r="G21" s="2">
        <f>AVERAGE(D20:D22)</f>
        <v>4491667262807358.5</v>
      </c>
      <c r="H21" s="62">
        <f>G21/F21</f>
        <v>0.15919026501192776</v>
      </c>
    </row>
    <row r="22" spans="1:8" x14ac:dyDescent="0.2">
      <c r="A22" s="3" t="s">
        <v>103</v>
      </c>
      <c r="B22" s="57" t="s">
        <v>88</v>
      </c>
      <c r="C22" s="60">
        <f>'Soot Data'!AN34</f>
        <v>2.6132352941175508E+16</v>
      </c>
      <c r="D22" s="60">
        <f>'Soot Data'!AO34</f>
        <v>7644979678567104</v>
      </c>
      <c r="E22" s="61">
        <f>'Soot Data'!AP34</f>
        <v>0.29254846265761519</v>
      </c>
    </row>
    <row r="30" spans="1:8" x14ac:dyDescent="0.2">
      <c r="C30" s="2" t="s">
        <v>107</v>
      </c>
      <c r="D30" s="2" t="s">
        <v>5</v>
      </c>
      <c r="E30" t="s">
        <v>9</v>
      </c>
    </row>
    <row r="31" spans="1:8" x14ac:dyDescent="0.2">
      <c r="B31" t="s">
        <v>76</v>
      </c>
      <c r="C31" s="2">
        <v>2.8957864357862768E+16</v>
      </c>
      <c r="D31">
        <v>685844828421510.62</v>
      </c>
      <c r="E31" s="70">
        <f>D31/C31</f>
        <v>2.3684233752386059E-2</v>
      </c>
    </row>
    <row r="32" spans="1:8" x14ac:dyDescent="0.2">
      <c r="B32" t="s">
        <v>80</v>
      </c>
      <c r="C32" s="2">
        <v>2.9795288671023376E+16</v>
      </c>
      <c r="D32">
        <v>1540899902788033</v>
      </c>
      <c r="E32" s="70">
        <f t="shared" ref="E32:E37" si="0">D32/C32</f>
        <v>5.1716226676017898E-2</v>
      </c>
    </row>
    <row r="33" spans="2:5" x14ac:dyDescent="0.2">
      <c r="B33" t="s">
        <v>84</v>
      </c>
      <c r="C33" s="2">
        <v>3.345750360750456E+16</v>
      </c>
      <c r="D33">
        <v>5722632988727935</v>
      </c>
      <c r="E33" s="70">
        <f t="shared" si="0"/>
        <v>0.17104184029570996</v>
      </c>
    </row>
    <row r="34" spans="2:5" x14ac:dyDescent="0.2">
      <c r="B34" t="s">
        <v>96</v>
      </c>
      <c r="C34" s="2">
        <v>2.9372239516816144E+16</v>
      </c>
      <c r="D34">
        <v>705378111498544.88</v>
      </c>
      <c r="E34" s="70">
        <f t="shared" si="0"/>
        <v>2.4015128675997043E-2</v>
      </c>
    </row>
    <row r="35" spans="2:5" x14ac:dyDescent="0.2">
      <c r="B35" t="s">
        <v>100</v>
      </c>
      <c r="C35" s="2">
        <v>2.941982716049358E+16</v>
      </c>
      <c r="D35">
        <v>999821340927443.38</v>
      </c>
      <c r="E35" s="70">
        <f t="shared" si="0"/>
        <v>3.3984609612868616E-2</v>
      </c>
    </row>
    <row r="36" spans="2:5" x14ac:dyDescent="0.2">
      <c r="B36" t="s">
        <v>92</v>
      </c>
      <c r="C36" s="2">
        <v>2.5325603864734388E+16</v>
      </c>
      <c r="D36">
        <v>2586708013724545.5</v>
      </c>
      <c r="E36" s="70">
        <f t="shared" si="0"/>
        <v>0.10213805868323268</v>
      </c>
    </row>
    <row r="37" spans="2:5" x14ac:dyDescent="0.2">
      <c r="B37" t="s">
        <v>88</v>
      </c>
      <c r="C37" s="2">
        <v>2.8215715718990784E+16</v>
      </c>
      <c r="D37">
        <v>4491667262807358.5</v>
      </c>
      <c r="E37" s="70">
        <f t="shared" si="0"/>
        <v>0.15919026501192776</v>
      </c>
    </row>
    <row r="40" spans="2:5" x14ac:dyDescent="0.2">
      <c r="C40" s="2" t="s">
        <v>107</v>
      </c>
      <c r="D40" s="2" t="s">
        <v>5</v>
      </c>
      <c r="E40" t="s">
        <v>9</v>
      </c>
    </row>
    <row r="41" spans="2:5" x14ac:dyDescent="0.2">
      <c r="B41" t="s">
        <v>84</v>
      </c>
      <c r="C41" s="2">
        <v>3.345750360750456E+16</v>
      </c>
      <c r="D41">
        <v>5722632988727935</v>
      </c>
      <c r="E41" s="70">
        <f t="shared" ref="E41:E47" si="1">D41/C41</f>
        <v>0.17104184029570996</v>
      </c>
    </row>
    <row r="42" spans="2:5" x14ac:dyDescent="0.2">
      <c r="B42" t="s">
        <v>80</v>
      </c>
      <c r="C42" s="2">
        <v>2.9795288671023376E+16</v>
      </c>
      <c r="D42">
        <v>1540899902788033</v>
      </c>
      <c r="E42" s="70">
        <f t="shared" si="1"/>
        <v>5.1716226676017898E-2</v>
      </c>
    </row>
    <row r="43" spans="2:5" x14ac:dyDescent="0.2">
      <c r="B43" t="s">
        <v>100</v>
      </c>
      <c r="C43" s="2">
        <v>2.941982716049358E+16</v>
      </c>
      <c r="D43">
        <v>999821340927443.38</v>
      </c>
      <c r="E43" s="70">
        <f t="shared" si="1"/>
        <v>3.3984609612868616E-2</v>
      </c>
    </row>
    <row r="44" spans="2:5" x14ac:dyDescent="0.2">
      <c r="B44" t="s">
        <v>96</v>
      </c>
      <c r="C44" s="2">
        <v>2.9372239516816144E+16</v>
      </c>
      <c r="D44">
        <v>705378111498544.88</v>
      </c>
      <c r="E44" s="70">
        <f t="shared" si="1"/>
        <v>2.4015128675997043E-2</v>
      </c>
    </row>
    <row r="45" spans="2:5" x14ac:dyDescent="0.2">
      <c r="B45" t="s">
        <v>76</v>
      </c>
      <c r="C45" s="2">
        <v>2.8957864357862768E+16</v>
      </c>
      <c r="D45">
        <v>685844828421510.62</v>
      </c>
      <c r="E45" s="70">
        <f t="shared" si="1"/>
        <v>2.3684233752386059E-2</v>
      </c>
    </row>
    <row r="46" spans="2:5" x14ac:dyDescent="0.2">
      <c r="B46" t="s">
        <v>88</v>
      </c>
      <c r="C46" s="2">
        <v>2.8215715718990784E+16</v>
      </c>
      <c r="D46">
        <v>4491667262807358.5</v>
      </c>
      <c r="E46" s="70">
        <f t="shared" si="1"/>
        <v>0.15919026501192776</v>
      </c>
    </row>
    <row r="47" spans="2:5" x14ac:dyDescent="0.2">
      <c r="B47" t="s">
        <v>92</v>
      </c>
      <c r="C47" s="2">
        <v>2.5325603864734388E+16</v>
      </c>
      <c r="D47">
        <v>2586708013724545.5</v>
      </c>
      <c r="E47" s="70">
        <f t="shared" si="1"/>
        <v>0.10213805868323268</v>
      </c>
    </row>
  </sheetData>
  <sortState xmlns:xlrd2="http://schemas.microsoft.com/office/spreadsheetml/2017/richdata2" ref="A2:H22">
    <sortCondition ref="B2:B22"/>
    <sortCondition ref="A2:A2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DE91F-6922-3C45-9C4F-67E47A40389C}">
  <dimension ref="A1:D26"/>
  <sheetViews>
    <sheetView workbookViewId="0">
      <selection activeCell="F3" sqref="F3"/>
    </sheetView>
  </sheetViews>
  <sheetFormatPr baseColWidth="10" defaultRowHeight="16" x14ac:dyDescent="0.2"/>
  <cols>
    <col min="1" max="1" width="20.33203125" bestFit="1" customWidth="1"/>
    <col min="3" max="3" width="12.1640625" bestFit="1" customWidth="1"/>
  </cols>
  <sheetData>
    <row r="1" spans="1:4" x14ac:dyDescent="0.2">
      <c r="A1" s="3" t="s">
        <v>104</v>
      </c>
      <c r="B1" s="3" t="s">
        <v>106</v>
      </c>
      <c r="C1" s="58" t="str">
        <f>'Soot Data'!W1</f>
        <v>Q Value</v>
      </c>
      <c r="D1" s="58" t="str">
        <f>'Soot Data'!X1</f>
        <v>Freq (GHz)</v>
      </c>
    </row>
    <row r="2" spans="1:4" x14ac:dyDescent="0.2">
      <c r="A2" s="3" t="s">
        <v>77</v>
      </c>
      <c r="B2" s="57" t="s">
        <v>76</v>
      </c>
      <c r="C2" s="55">
        <f>'Soot Data'!W14</f>
        <v>4105</v>
      </c>
      <c r="D2" s="58">
        <f>'Soot Data'!X14</f>
        <v>9.6592599999999997</v>
      </c>
    </row>
    <row r="3" spans="1:4" x14ac:dyDescent="0.2">
      <c r="A3" s="3" t="s">
        <v>78</v>
      </c>
      <c r="B3" s="57" t="s">
        <v>76</v>
      </c>
      <c r="C3" s="55">
        <f>'Soot Data'!W15</f>
        <v>4104</v>
      </c>
      <c r="D3" s="58">
        <f>'Soot Data'!X15</f>
        <v>9.6579960000000007</v>
      </c>
    </row>
    <row r="4" spans="1:4" x14ac:dyDescent="0.2">
      <c r="A4" s="3" t="s">
        <v>79</v>
      </c>
      <c r="B4" s="57" t="s">
        <v>76</v>
      </c>
      <c r="C4" s="55">
        <f>'Soot Data'!W16</f>
        <v>4105</v>
      </c>
      <c r="D4" s="58">
        <f>'Soot Data'!X16</f>
        <v>9.6590570000000007</v>
      </c>
    </row>
    <row r="5" spans="1:4" x14ac:dyDescent="0.2">
      <c r="A5" s="3" t="s">
        <v>81</v>
      </c>
      <c r="B5" s="57" t="s">
        <v>80</v>
      </c>
      <c r="C5" s="55">
        <f>'Soot Data'!W17</f>
        <v>4105</v>
      </c>
      <c r="D5" s="58">
        <f>'Soot Data'!X17</f>
        <v>9.6590319999999998</v>
      </c>
    </row>
    <row r="6" spans="1:4" x14ac:dyDescent="0.2">
      <c r="A6" s="3" t="s">
        <v>82</v>
      </c>
      <c r="B6" s="57" t="s">
        <v>80</v>
      </c>
      <c r="C6" s="55">
        <f>'Soot Data'!W18</f>
        <v>3518</v>
      </c>
      <c r="D6" s="58">
        <f>'Soot Data'!X18</f>
        <v>9.6575849999999992</v>
      </c>
    </row>
    <row r="7" spans="1:4" x14ac:dyDescent="0.2">
      <c r="A7" s="3" t="s">
        <v>83</v>
      </c>
      <c r="B7" s="57" t="s">
        <v>80</v>
      </c>
      <c r="C7" s="55">
        <f>'Soot Data'!W19</f>
        <v>4105</v>
      </c>
      <c r="D7" s="58">
        <f>'Soot Data'!X19</f>
        <v>9.6591389999999997</v>
      </c>
    </row>
    <row r="8" spans="1:4" x14ac:dyDescent="0.2">
      <c r="A8" s="3" t="s">
        <v>85</v>
      </c>
      <c r="B8" s="57" t="s">
        <v>84</v>
      </c>
      <c r="C8" s="55">
        <f>'Soot Data'!W20</f>
        <v>4104</v>
      </c>
      <c r="D8" s="58">
        <f>'Soot Data'!X20</f>
        <v>9.6585289999999997</v>
      </c>
    </row>
    <row r="9" spans="1:4" x14ac:dyDescent="0.2">
      <c r="A9" s="3" t="s">
        <v>86</v>
      </c>
      <c r="B9" s="57" t="s">
        <v>84</v>
      </c>
      <c r="C9" s="55">
        <f>'Soot Data'!W21</f>
        <v>4104</v>
      </c>
      <c r="D9" s="58">
        <f>'Soot Data'!X21</f>
        <v>9.6571739999999995</v>
      </c>
    </row>
    <row r="10" spans="1:4" x14ac:dyDescent="0.2">
      <c r="A10" s="3" t="s">
        <v>87</v>
      </c>
      <c r="B10" s="57" t="s">
        <v>84</v>
      </c>
      <c r="C10" s="55">
        <f>'Soot Data'!W22</f>
        <v>3518</v>
      </c>
      <c r="D10" s="58">
        <f>'Soot Data'!X22</f>
        <v>9.6589259999999992</v>
      </c>
    </row>
    <row r="11" spans="1:4" x14ac:dyDescent="0.2">
      <c r="A11" s="3" t="s">
        <v>97</v>
      </c>
      <c r="B11" s="57" t="s">
        <v>92</v>
      </c>
      <c r="C11" s="55">
        <f>'Soot Data'!W29</f>
        <v>4105</v>
      </c>
      <c r="D11" s="58">
        <f>'Soot Data'!X29</f>
        <v>9.6603680000000001</v>
      </c>
    </row>
    <row r="12" spans="1:4" x14ac:dyDescent="0.2">
      <c r="A12" s="3" t="s">
        <v>98</v>
      </c>
      <c r="B12" s="57" t="s">
        <v>92</v>
      </c>
      <c r="C12" s="55">
        <f>'Soot Data'!W30</f>
        <v>4105</v>
      </c>
      <c r="D12" s="58">
        <f>'Soot Data'!X30</f>
        <v>9.6600579999999994</v>
      </c>
    </row>
    <row r="13" spans="1:4" x14ac:dyDescent="0.2">
      <c r="A13" s="3" t="s">
        <v>99</v>
      </c>
      <c r="B13" s="57" t="s">
        <v>92</v>
      </c>
      <c r="C13" s="55">
        <f>'Soot Data'!W31</f>
        <v>3519</v>
      </c>
      <c r="D13" s="58">
        <f>'Soot Data'!X31</f>
        <v>9.6601359999999996</v>
      </c>
    </row>
    <row r="14" spans="1:4" x14ac:dyDescent="0.2">
      <c r="A14" s="3" t="s">
        <v>101</v>
      </c>
      <c r="B14" s="57" t="s">
        <v>88</v>
      </c>
      <c r="C14" s="55">
        <f>'Soot Data'!W32</f>
        <v>4105</v>
      </c>
      <c r="D14" s="58">
        <f>'Soot Data'!X32</f>
        <v>9.6592909999999996</v>
      </c>
    </row>
    <row r="15" spans="1:4" x14ac:dyDescent="0.2">
      <c r="A15" s="3" t="s">
        <v>102</v>
      </c>
      <c r="B15" s="57" t="s">
        <v>88</v>
      </c>
      <c r="C15" s="55">
        <f>'Soot Data'!W33</f>
        <v>4105</v>
      </c>
      <c r="D15" s="58">
        <f>'Soot Data'!X33</f>
        <v>9.6599579999999996</v>
      </c>
    </row>
    <row r="16" spans="1:4" x14ac:dyDescent="0.2">
      <c r="A16" s="3" t="s">
        <v>103</v>
      </c>
      <c r="B16" s="57" t="s">
        <v>88</v>
      </c>
      <c r="C16" s="55">
        <f>'Soot Data'!W34</f>
        <v>4105</v>
      </c>
      <c r="D16" s="58">
        <f>'Soot Data'!X34</f>
        <v>9.6598659999999992</v>
      </c>
    </row>
    <row r="17" spans="1:4" x14ac:dyDescent="0.2">
      <c r="A17" s="3" t="s">
        <v>93</v>
      </c>
      <c r="B17" s="57" t="s">
        <v>96</v>
      </c>
      <c r="C17" s="55">
        <f>'Soot Data'!W26</f>
        <v>4105</v>
      </c>
      <c r="D17" s="58">
        <f>'Soot Data'!X26</f>
        <v>9.6593820000000008</v>
      </c>
    </row>
    <row r="18" spans="1:4" x14ac:dyDescent="0.2">
      <c r="A18" s="3" t="s">
        <v>94</v>
      </c>
      <c r="B18" s="57" t="s">
        <v>96</v>
      </c>
      <c r="C18" s="55">
        <f>'Soot Data'!W27</f>
        <v>3518</v>
      </c>
      <c r="D18" s="58">
        <f>'Soot Data'!X27</f>
        <v>9.6593859999999996</v>
      </c>
    </row>
    <row r="19" spans="1:4" x14ac:dyDescent="0.2">
      <c r="A19" s="3" t="s">
        <v>95</v>
      </c>
      <c r="B19" s="57" t="s">
        <v>96</v>
      </c>
      <c r="C19" s="55">
        <f>'Soot Data'!W28</f>
        <v>4105</v>
      </c>
      <c r="D19" s="58">
        <f>'Soot Data'!X28</f>
        <v>9.6592789999999997</v>
      </c>
    </row>
    <row r="20" spans="1:4" x14ac:dyDescent="0.2">
      <c r="A20" s="3" t="s">
        <v>89</v>
      </c>
      <c r="B20" s="57" t="s">
        <v>100</v>
      </c>
      <c r="C20" s="55">
        <f>'Soot Data'!W23</f>
        <v>3519</v>
      </c>
      <c r="D20" s="58">
        <f>'Soot Data'!X23</f>
        <v>9.6605070000000008</v>
      </c>
    </row>
    <row r="21" spans="1:4" x14ac:dyDescent="0.2">
      <c r="A21" s="3" t="s">
        <v>90</v>
      </c>
      <c r="B21" s="57" t="s">
        <v>100</v>
      </c>
      <c r="C21" s="55">
        <f>'Soot Data'!W24</f>
        <v>3518</v>
      </c>
      <c r="D21" s="58">
        <f>'Soot Data'!X24</f>
        <v>9.659948</v>
      </c>
    </row>
    <row r="22" spans="1:4" x14ac:dyDescent="0.2">
      <c r="A22" s="3" t="s">
        <v>91</v>
      </c>
      <c r="B22" s="57" t="s">
        <v>100</v>
      </c>
      <c r="C22" s="55">
        <f>'Soot Data'!W25</f>
        <v>3518</v>
      </c>
      <c r="D22" s="58">
        <f>'Soot Data'!X25</f>
        <v>9.6578300000000006</v>
      </c>
    </row>
    <row r="24" spans="1:4" x14ac:dyDescent="0.2">
      <c r="C24" s="67">
        <f>AVERAGE(C2:C22)</f>
        <v>3909.2857142857142</v>
      </c>
      <c r="D24" s="65">
        <f>AVERAGE(D2:D22)</f>
        <v>9.6591765238095224</v>
      </c>
    </row>
    <row r="25" spans="1:4" x14ac:dyDescent="0.2">
      <c r="C25" s="67">
        <f>STDEV(C2:C22)</f>
        <v>283.30674945315775</v>
      </c>
      <c r="D25" s="65">
        <f>STDEV(D2:D22)</f>
        <v>9.2069955029032337E-4</v>
      </c>
    </row>
    <row r="26" spans="1:4" x14ac:dyDescent="0.2">
      <c r="C26" s="66">
        <f>C25/C24</f>
        <v>7.2470208155384769E-2</v>
      </c>
      <c r="D26" s="66">
        <f>D25/D24</f>
        <v>9.5318637983355216E-5</v>
      </c>
    </row>
  </sheetData>
  <sortState xmlns:xlrd2="http://schemas.microsoft.com/office/spreadsheetml/2017/richdata2" ref="A2:D22">
    <sortCondition ref="A2:A22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53824-CE6E-9A42-A584-BFB2DBD95897}">
  <dimension ref="A1:BA91"/>
  <sheetViews>
    <sheetView workbookViewId="0">
      <selection activeCell="O16" sqref="O16"/>
    </sheetView>
  </sheetViews>
  <sheetFormatPr baseColWidth="10" defaultRowHeight="16" x14ac:dyDescent="0.2"/>
  <cols>
    <col min="4" max="4" width="10.83203125" style="62"/>
    <col min="10" max="10" width="17.5" customWidth="1"/>
    <col min="11" max="11" width="13.1640625" customWidth="1"/>
    <col min="12" max="12" width="12.1640625" bestFit="1" customWidth="1"/>
    <col min="14" max="14" width="26.33203125" customWidth="1"/>
    <col min="15" max="15" width="13.33203125" customWidth="1"/>
    <col min="16" max="16" width="12.1640625" bestFit="1" customWidth="1"/>
    <col min="20" max="20" width="17.1640625" customWidth="1"/>
    <col min="21" max="21" width="16.33203125" customWidth="1"/>
    <col min="24" max="24" width="28" customWidth="1"/>
    <col min="25" max="25" width="14.33203125" customWidth="1"/>
    <col min="26" max="26" width="14.83203125" customWidth="1"/>
    <col min="29" max="29" width="15.6640625" customWidth="1"/>
    <col min="30" max="30" width="14.5" customWidth="1"/>
    <col min="31" max="31" width="13.1640625" customWidth="1"/>
    <col min="33" max="33" width="26.5" customWidth="1"/>
    <col min="34" max="34" width="14" customWidth="1"/>
    <col min="35" max="35" width="14.33203125" customWidth="1"/>
    <col min="38" max="38" width="16.5" customWidth="1"/>
    <col min="39" max="39" width="12.5" customWidth="1"/>
    <col min="40" max="40" width="15.33203125" customWidth="1"/>
    <col min="42" max="42" width="26.6640625" customWidth="1"/>
    <col min="43" max="43" width="13.5" customWidth="1"/>
    <col min="44" max="44" width="15.6640625" customWidth="1"/>
    <col min="47" max="47" width="20.1640625" customWidth="1"/>
    <col min="48" max="48" width="17.6640625" customWidth="1"/>
    <col min="51" max="51" width="28.5" customWidth="1"/>
    <col min="52" max="52" width="17.33203125" customWidth="1"/>
    <col min="53" max="53" width="17.83203125" customWidth="1"/>
  </cols>
  <sheetData>
    <row r="1" spans="1:53" x14ac:dyDescent="0.2">
      <c r="A1" s="3" t="s">
        <v>182</v>
      </c>
      <c r="B1" s="3"/>
      <c r="C1" s="3"/>
      <c r="D1" s="3"/>
      <c r="E1" s="3"/>
      <c r="F1" s="3"/>
      <c r="G1" s="3"/>
      <c r="AC1" t="s">
        <v>108</v>
      </c>
      <c r="AG1" t="s">
        <v>115</v>
      </c>
      <c r="AL1" t="s">
        <v>108</v>
      </c>
      <c r="AP1" t="s">
        <v>122</v>
      </c>
      <c r="AU1" t="s">
        <v>108</v>
      </c>
      <c r="AY1" t="s">
        <v>122</v>
      </c>
    </row>
    <row r="2" spans="1:53" ht="17" thickBot="1" x14ac:dyDescent="0.25">
      <c r="A2" s="3" t="s">
        <v>76</v>
      </c>
      <c r="B2" s="3" t="s">
        <v>80</v>
      </c>
      <c r="C2" s="3" t="s">
        <v>84</v>
      </c>
      <c r="D2" s="3" t="s">
        <v>96</v>
      </c>
      <c r="E2" s="3" t="s">
        <v>100</v>
      </c>
      <c r="F2" s="3" t="s">
        <v>92</v>
      </c>
      <c r="G2" s="3" t="s">
        <v>88</v>
      </c>
      <c r="J2" t="s">
        <v>108</v>
      </c>
      <c r="N2" t="s">
        <v>115</v>
      </c>
      <c r="T2" t="s">
        <v>108</v>
      </c>
      <c r="X2" t="s">
        <v>122</v>
      </c>
    </row>
    <row r="3" spans="1:53" ht="17" thickBot="1" x14ac:dyDescent="0.25">
      <c r="A3" s="69">
        <v>3.2345454545450764E+16</v>
      </c>
      <c r="B3" s="69">
        <v>2.9325000000000176E+16</v>
      </c>
      <c r="C3" s="69">
        <v>2.5719230769231132E+16</v>
      </c>
      <c r="D3" s="69">
        <v>3.1272413793105096E+16</v>
      </c>
      <c r="E3" s="69">
        <v>2.4216666666665972E+16</v>
      </c>
      <c r="F3" s="69">
        <v>2.5772727272727508E+16</v>
      </c>
      <c r="G3" s="69">
        <v>2.8903448275861932E+16</v>
      </c>
      <c r="AC3" s="73"/>
      <c r="AD3" s="73" t="s">
        <v>84</v>
      </c>
      <c r="AE3" s="73" t="s">
        <v>96</v>
      </c>
      <c r="AG3" s="73"/>
      <c r="AH3" s="73" t="s">
        <v>84</v>
      </c>
      <c r="AI3" s="73" t="s">
        <v>96</v>
      </c>
      <c r="AL3" s="73"/>
      <c r="AM3" s="73" t="s">
        <v>96</v>
      </c>
      <c r="AN3" s="73" t="s">
        <v>100</v>
      </c>
      <c r="AP3" s="73"/>
      <c r="AQ3" s="73" t="s">
        <v>96</v>
      </c>
      <c r="AR3" s="73" t="s">
        <v>100</v>
      </c>
      <c r="AU3" s="73"/>
      <c r="AV3" s="73" t="s">
        <v>100</v>
      </c>
      <c r="AW3" s="73" t="s">
        <v>92</v>
      </c>
      <c r="AY3" s="73"/>
      <c r="AZ3" s="73" t="s">
        <v>100</v>
      </c>
      <c r="BA3" s="73" t="s">
        <v>92</v>
      </c>
    </row>
    <row r="4" spans="1:53" x14ac:dyDescent="0.2">
      <c r="A4" s="69">
        <v>3.2290909090905316E+16</v>
      </c>
      <c r="B4" s="69">
        <v>3.5550000000000216E+16</v>
      </c>
      <c r="C4" s="69">
        <v>3.8642307692308232E+16</v>
      </c>
      <c r="D4" s="69">
        <v>2.6720689655173824E+16</v>
      </c>
      <c r="E4" s="69">
        <v>4.6816666666665328E+16</v>
      </c>
      <c r="F4" s="69">
        <v>3.1745454545454836E+16</v>
      </c>
      <c r="G4" s="69">
        <v>3.1231034482758472E+16</v>
      </c>
      <c r="J4" s="73"/>
      <c r="K4" s="73" t="s">
        <v>76</v>
      </c>
      <c r="L4" s="73" t="s">
        <v>80</v>
      </c>
      <c r="N4" s="73"/>
      <c r="O4" s="73" t="s">
        <v>76</v>
      </c>
      <c r="P4" s="73" t="s">
        <v>80</v>
      </c>
      <c r="T4" s="73"/>
      <c r="U4" s="73" t="s">
        <v>80</v>
      </c>
      <c r="V4" s="73" t="s">
        <v>84</v>
      </c>
      <c r="X4" s="73"/>
      <c r="Y4" s="73" t="s">
        <v>80</v>
      </c>
      <c r="Z4" s="73" t="s">
        <v>84</v>
      </c>
      <c r="AC4" s="71" t="s">
        <v>109</v>
      </c>
      <c r="AD4" s="71">
        <v>3.5999500499501648E+16</v>
      </c>
      <c r="AE4" s="71">
        <v>2.9488565613027252E+16</v>
      </c>
      <c r="AG4" s="71" t="s">
        <v>109</v>
      </c>
      <c r="AH4" s="71">
        <v>3.5999500499501648E+16</v>
      </c>
      <c r="AI4" s="71">
        <v>2.9488565613027252E+16</v>
      </c>
      <c r="AL4" s="71" t="s">
        <v>109</v>
      </c>
      <c r="AM4" s="71">
        <v>2.9488565613027252E+16</v>
      </c>
      <c r="AN4" s="71">
        <v>3.0893580246913196E+16</v>
      </c>
      <c r="AP4" s="71" t="s">
        <v>109</v>
      </c>
      <c r="AQ4" s="71">
        <v>2.9488565613027252E+16</v>
      </c>
      <c r="AR4" s="71">
        <v>3.0893580246913196E+16</v>
      </c>
      <c r="AU4" s="71" t="s">
        <v>109</v>
      </c>
      <c r="AV4" s="71">
        <v>3.0893580246913196E+16</v>
      </c>
      <c r="AW4" s="71">
        <v>2.8451677081791688E+16</v>
      </c>
      <c r="AY4" s="71" t="s">
        <v>109</v>
      </c>
      <c r="AZ4" s="71">
        <v>3.0893580246913196E+16</v>
      </c>
      <c r="BA4" s="71">
        <v>2.8451677081791688E+16</v>
      </c>
    </row>
    <row r="5" spans="1:53" x14ac:dyDescent="0.2">
      <c r="A5" s="69">
        <v>3.2427272727268936E+16</v>
      </c>
      <c r="B5" s="69">
        <v>2.975625000000018E+16</v>
      </c>
      <c r="C5" s="69">
        <v>2.3284615384615712E+16</v>
      </c>
      <c r="D5" s="69">
        <v>3.1075862068967156E+16</v>
      </c>
      <c r="E5" s="69">
        <v>4.5299999999998704E+16</v>
      </c>
      <c r="F5" s="69">
        <v>3.6400000000000336E+16</v>
      </c>
      <c r="G5" s="69">
        <v>3.0258620689655028E+16</v>
      </c>
      <c r="J5" s="71" t="s">
        <v>109</v>
      </c>
      <c r="K5" s="71">
        <v>2.8957864357862764E+16</v>
      </c>
      <c r="L5" s="71">
        <v>2.9904779411764132E+16</v>
      </c>
      <c r="N5" s="71" t="s">
        <v>109</v>
      </c>
      <c r="O5" s="71">
        <v>2.8957864357862764E+16</v>
      </c>
      <c r="P5" s="71">
        <v>2.9904779411764132E+16</v>
      </c>
      <c r="T5" s="71" t="s">
        <v>109</v>
      </c>
      <c r="U5" s="71">
        <v>2.9904779411764132E+16</v>
      </c>
      <c r="V5" s="71">
        <v>3.5999500499501648E+16</v>
      </c>
      <c r="X5" s="71" t="s">
        <v>109</v>
      </c>
      <c r="Y5" s="71">
        <v>2.9904779411764132E+16</v>
      </c>
      <c r="Z5" s="71">
        <v>3.5999500499501648E+16</v>
      </c>
      <c r="AC5" s="71" t="s">
        <v>110</v>
      </c>
      <c r="AD5" s="71">
        <v>3.2430323504921198E+32</v>
      </c>
      <c r="AE5" s="71">
        <v>9.5969484704828932E+30</v>
      </c>
      <c r="AG5" s="71" t="s">
        <v>110</v>
      </c>
      <c r="AH5" s="71">
        <v>3.2430323504921198E+32</v>
      </c>
      <c r="AI5" s="71">
        <v>9.5969484704828932E+30</v>
      </c>
      <c r="AL5" s="71" t="s">
        <v>110</v>
      </c>
      <c r="AM5" s="71">
        <v>9.5969484704828932E+30</v>
      </c>
      <c r="AN5" s="71">
        <v>1.1438373238819456E+32</v>
      </c>
      <c r="AP5" s="71" t="s">
        <v>110</v>
      </c>
      <c r="AQ5" s="71">
        <v>9.5969484704828932E+30</v>
      </c>
      <c r="AR5" s="71">
        <v>1.1438373238819456E+32</v>
      </c>
      <c r="AU5" s="71" t="s">
        <v>110</v>
      </c>
      <c r="AV5" s="71">
        <v>1.1438373238819456E+32</v>
      </c>
      <c r="AW5" s="71">
        <v>5.8999718704778095E+31</v>
      </c>
      <c r="AY5" s="71" t="s">
        <v>110</v>
      </c>
      <c r="AZ5" s="71">
        <v>1.1438373238819456E+32</v>
      </c>
      <c r="BA5" s="71">
        <v>5.8999718704778095E+31</v>
      </c>
    </row>
    <row r="6" spans="1:53" x14ac:dyDescent="0.2">
      <c r="A6" s="69">
        <v>3.4959999999998028E+16</v>
      </c>
      <c r="B6" s="69">
        <v>2.606666666666592E+16</v>
      </c>
      <c r="C6" s="69">
        <v>2.0218181818182004E+16</v>
      </c>
      <c r="D6" s="69">
        <v>3.3644444444444E+16</v>
      </c>
      <c r="E6" s="69">
        <v>1.7436000000000178E+16</v>
      </c>
      <c r="F6" s="69">
        <v>1.8528260869564912E+16</v>
      </c>
      <c r="G6" s="69">
        <v>2.7600000000001556E+16</v>
      </c>
      <c r="J6" s="71" t="s">
        <v>110</v>
      </c>
      <c r="K6" s="71">
        <v>5.1887530870952583E+31</v>
      </c>
      <c r="L6" s="71">
        <v>9.6249868139667373E+30</v>
      </c>
      <c r="N6" s="71" t="s">
        <v>110</v>
      </c>
      <c r="O6" s="71">
        <v>5.1887530870952583E+31</v>
      </c>
      <c r="P6" s="71">
        <v>9.6249868139667373E+30</v>
      </c>
      <c r="T6" s="71" t="s">
        <v>110</v>
      </c>
      <c r="U6" s="71">
        <v>9.6249868139667373E+30</v>
      </c>
      <c r="V6" s="71">
        <v>3.2430323504921198E+32</v>
      </c>
      <c r="X6" s="71" t="s">
        <v>110</v>
      </c>
      <c r="Y6" s="71">
        <v>9.6249868139667373E+30</v>
      </c>
      <c r="Z6" s="71">
        <v>3.2430323504921198E+32</v>
      </c>
      <c r="AC6" s="71" t="s">
        <v>111</v>
      </c>
      <c r="AD6" s="71">
        <v>9</v>
      </c>
      <c r="AE6" s="71">
        <v>9</v>
      </c>
      <c r="AG6" s="71" t="s">
        <v>111</v>
      </c>
      <c r="AH6" s="71">
        <v>9</v>
      </c>
      <c r="AI6" s="71">
        <v>9</v>
      </c>
      <c r="AL6" s="71" t="s">
        <v>111</v>
      </c>
      <c r="AM6" s="71">
        <v>9</v>
      </c>
      <c r="AN6" s="71">
        <v>9</v>
      </c>
      <c r="AP6" s="71" t="s">
        <v>111</v>
      </c>
      <c r="AQ6" s="71">
        <v>9</v>
      </c>
      <c r="AR6" s="71">
        <v>9</v>
      </c>
      <c r="AU6" s="71" t="s">
        <v>111</v>
      </c>
      <c r="AV6" s="71">
        <v>9</v>
      </c>
      <c r="AW6" s="71">
        <v>9</v>
      </c>
      <c r="AY6" s="71" t="s">
        <v>111</v>
      </c>
      <c r="AZ6" s="71">
        <v>9</v>
      </c>
      <c r="BA6" s="71">
        <v>9</v>
      </c>
    </row>
    <row r="7" spans="1:53" x14ac:dyDescent="0.2">
      <c r="A7" s="69">
        <v>3.5199999999998016E+16</v>
      </c>
      <c r="B7" s="69">
        <v>3.1549999999999096E+16</v>
      </c>
      <c r="C7" s="69">
        <v>3.085454545454574E+16</v>
      </c>
      <c r="D7" s="69">
        <v>2.8655555555555176E+16</v>
      </c>
      <c r="E7" s="69">
        <v>3.3660000000000344E+16</v>
      </c>
      <c r="F7" s="69">
        <v>2.2858695652173536E+16</v>
      </c>
      <c r="G7" s="69">
        <v>2.9254838709679068E+16</v>
      </c>
      <c r="J7" s="71" t="s">
        <v>111</v>
      </c>
      <c r="K7" s="71">
        <v>9</v>
      </c>
      <c r="L7" s="71">
        <v>9</v>
      </c>
      <c r="N7" s="71" t="s">
        <v>111</v>
      </c>
      <c r="O7" s="71">
        <v>9</v>
      </c>
      <c r="P7" s="71">
        <v>9</v>
      </c>
      <c r="T7" s="71" t="s">
        <v>111</v>
      </c>
      <c r="U7" s="71">
        <v>9</v>
      </c>
      <c r="V7" s="71">
        <v>9</v>
      </c>
      <c r="X7" s="71" t="s">
        <v>111</v>
      </c>
      <c r="Y7" s="71">
        <v>9</v>
      </c>
      <c r="Z7" s="71">
        <v>9</v>
      </c>
      <c r="AC7" s="71" t="s">
        <v>112</v>
      </c>
      <c r="AD7" s="71">
        <v>8</v>
      </c>
      <c r="AE7" s="71">
        <v>8</v>
      </c>
      <c r="AG7" s="71" t="s">
        <v>116</v>
      </c>
      <c r="AH7" s="71">
        <v>0</v>
      </c>
      <c r="AI7" s="71"/>
      <c r="AL7" s="71" t="s">
        <v>112</v>
      </c>
      <c r="AM7" s="71">
        <v>8</v>
      </c>
      <c r="AN7" s="71">
        <v>8</v>
      </c>
      <c r="AP7" s="71" t="s">
        <v>123</v>
      </c>
      <c r="AQ7" s="71">
        <v>6.1990340429338721E+31</v>
      </c>
      <c r="AR7" s="71"/>
      <c r="AU7" s="71" t="s">
        <v>112</v>
      </c>
      <c r="AV7" s="71">
        <v>8</v>
      </c>
      <c r="AW7" s="71">
        <v>8</v>
      </c>
      <c r="AY7" s="71" t="s">
        <v>123</v>
      </c>
      <c r="AZ7" s="71">
        <v>8.6691725546486325E+31</v>
      </c>
      <c r="BA7" s="71"/>
    </row>
    <row r="8" spans="1:53" x14ac:dyDescent="0.2">
      <c r="A8" s="69">
        <v>3.4939999999998028E+16</v>
      </c>
      <c r="B8" s="69">
        <v>2.698333333333256E+16</v>
      </c>
      <c r="C8" s="69">
        <v>1.8690909090909264E+16</v>
      </c>
      <c r="D8" s="69">
        <v>3.329999999999956E+16</v>
      </c>
      <c r="E8" s="69">
        <v>3.2724000000000336E+16</v>
      </c>
      <c r="F8" s="69">
        <v>2.5976086956521308E+16</v>
      </c>
      <c r="G8" s="69">
        <v>2.9312903225808104E+16</v>
      </c>
      <c r="J8" s="71" t="s">
        <v>112</v>
      </c>
      <c r="K8" s="71">
        <v>8</v>
      </c>
      <c r="L8" s="71">
        <v>8</v>
      </c>
      <c r="N8" s="71" t="s">
        <v>116</v>
      </c>
      <c r="O8" s="71">
        <v>0</v>
      </c>
      <c r="P8" s="71"/>
      <c r="T8" s="71" t="s">
        <v>112</v>
      </c>
      <c r="U8" s="71">
        <v>8</v>
      </c>
      <c r="V8" s="71">
        <v>8</v>
      </c>
      <c r="X8" s="71" t="s">
        <v>123</v>
      </c>
      <c r="Y8" s="71">
        <v>1.6696411093158934E+32</v>
      </c>
      <c r="Z8" s="71"/>
      <c r="AC8" s="71" t="s">
        <v>92</v>
      </c>
      <c r="AD8" s="71">
        <v>33.792328472603948</v>
      </c>
      <c r="AE8" s="71"/>
      <c r="AG8" s="71" t="s">
        <v>112</v>
      </c>
      <c r="AH8" s="71">
        <v>8</v>
      </c>
      <c r="AI8" s="71"/>
      <c r="AL8" s="71" t="s">
        <v>92</v>
      </c>
      <c r="AM8" s="71">
        <v>8.3901340427612991E-2</v>
      </c>
      <c r="AN8" s="71"/>
      <c r="AP8" s="71" t="s">
        <v>116</v>
      </c>
      <c r="AQ8" s="71">
        <v>0</v>
      </c>
      <c r="AR8" s="71"/>
      <c r="AU8" s="71" t="s">
        <v>92</v>
      </c>
      <c r="AV8" s="71">
        <v>1.9387165718627601</v>
      </c>
      <c r="AW8" s="71"/>
      <c r="AY8" s="71" t="s">
        <v>116</v>
      </c>
      <c r="AZ8" s="71">
        <v>0</v>
      </c>
      <c r="BA8" s="71"/>
    </row>
    <row r="9" spans="1:53" x14ac:dyDescent="0.2">
      <c r="A9" s="69">
        <v>1.8910714285715244E+16</v>
      </c>
      <c r="B9" s="69">
        <v>2.763529411764604E+16</v>
      </c>
      <c r="C9" s="69">
        <v>4.7764285714288136E+16</v>
      </c>
      <c r="D9" s="69">
        <v>2.8303125000000172E+16</v>
      </c>
      <c r="E9" s="69">
        <v>1.6166666666666452E+16</v>
      </c>
      <c r="F9" s="69">
        <v>1.9384090909091208E+16</v>
      </c>
      <c r="G9" s="69">
        <v>2.5102941176469664E+16</v>
      </c>
      <c r="J9" s="71" t="s">
        <v>92</v>
      </c>
      <c r="K9" s="71">
        <v>5.3909196837193614</v>
      </c>
      <c r="L9" s="71"/>
      <c r="N9" s="71" t="s">
        <v>112</v>
      </c>
      <c r="O9" s="71">
        <v>11</v>
      </c>
      <c r="P9" s="71"/>
      <c r="T9" s="71" t="s">
        <v>92</v>
      </c>
      <c r="U9" s="71">
        <v>2.9678972559450959E-2</v>
      </c>
      <c r="V9" s="71"/>
      <c r="X9" s="71" t="s">
        <v>116</v>
      </c>
      <c r="Y9" s="71">
        <v>0</v>
      </c>
      <c r="Z9" s="71"/>
      <c r="AC9" s="71" t="s">
        <v>113</v>
      </c>
      <c r="AD9" s="71">
        <v>2.2276986560709365E-5</v>
      </c>
      <c r="AE9" s="71"/>
      <c r="AG9" s="71" t="s">
        <v>117</v>
      </c>
      <c r="AH9" s="71">
        <v>1.068947258980518</v>
      </c>
      <c r="AI9" s="71"/>
      <c r="AL9" s="71" t="s">
        <v>113</v>
      </c>
      <c r="AM9" s="71">
        <v>1.0378493463680805E-3</v>
      </c>
      <c r="AN9" s="71"/>
      <c r="AP9" s="71" t="s">
        <v>112</v>
      </c>
      <c r="AQ9" s="71">
        <v>16</v>
      </c>
      <c r="AR9" s="71"/>
      <c r="AU9" s="71" t="s">
        <v>113</v>
      </c>
      <c r="AV9" s="71">
        <v>0.18414218212028091</v>
      </c>
      <c r="AW9" s="71"/>
      <c r="AY9" s="71" t="s">
        <v>112</v>
      </c>
      <c r="AZ9" s="71">
        <v>16</v>
      </c>
      <c r="BA9" s="71"/>
    </row>
    <row r="10" spans="1:53" ht="17" thickBot="1" x14ac:dyDescent="0.25">
      <c r="A10" s="69">
        <v>1.9917857142858152E+16</v>
      </c>
      <c r="B10" s="69">
        <v>3.3441176470587004E+16</v>
      </c>
      <c r="C10" s="69">
        <v>7.5385714285718112E+16</v>
      </c>
      <c r="D10" s="69">
        <v>2.4206250000000148E+16</v>
      </c>
      <c r="E10" s="69">
        <v>3.1311111111110696E+16</v>
      </c>
      <c r="F10" s="69">
        <v>3.679655172413776E+16</v>
      </c>
      <c r="G10" s="69">
        <v>2.6655882352940196E+16</v>
      </c>
      <c r="J10" s="71" t="s">
        <v>113</v>
      </c>
      <c r="K10" s="71">
        <v>1.4083016681149259E-2</v>
      </c>
      <c r="L10" s="71"/>
      <c r="N10" s="71" t="s">
        <v>117</v>
      </c>
      <c r="O10" s="71">
        <v>-0.36220173324892724</v>
      </c>
      <c r="P10" s="71"/>
      <c r="T10" s="71" t="s">
        <v>113</v>
      </c>
      <c r="U10" s="71">
        <v>2.2526393448574211E-5</v>
      </c>
      <c r="V10" s="71"/>
      <c r="X10" s="71" t="s">
        <v>112</v>
      </c>
      <c r="Y10" s="71">
        <v>16</v>
      </c>
      <c r="Z10" s="71"/>
      <c r="AC10" s="72" t="s">
        <v>114</v>
      </c>
      <c r="AD10" s="72">
        <v>3.4381012333731586</v>
      </c>
      <c r="AE10" s="72"/>
      <c r="AG10" s="71" t="s">
        <v>118</v>
      </c>
      <c r="AH10" s="71">
        <v>0.15814166807606173</v>
      </c>
      <c r="AI10" s="71"/>
      <c r="AL10" s="72" t="s">
        <v>114</v>
      </c>
      <c r="AM10" s="72">
        <v>0.29085821856934957</v>
      </c>
      <c r="AN10" s="72"/>
      <c r="AP10" s="71" t="s">
        <v>117</v>
      </c>
      <c r="AQ10" s="71">
        <v>-0.37855160673596944</v>
      </c>
      <c r="AR10" s="71"/>
      <c r="AU10" s="72" t="s">
        <v>114</v>
      </c>
      <c r="AV10" s="72">
        <v>3.4381012333731586</v>
      </c>
      <c r="AW10" s="72"/>
      <c r="AY10" s="71" t="s">
        <v>117</v>
      </c>
      <c r="AZ10" s="71">
        <v>0.55634715428193859</v>
      </c>
      <c r="BA10" s="71"/>
    </row>
    <row r="11" spans="1:53" ht="17" thickBot="1" x14ac:dyDescent="0.25">
      <c r="A11" s="69">
        <v>1.9628571428572424E+16</v>
      </c>
      <c r="B11" s="69">
        <v>2.8835294117645996E+16</v>
      </c>
      <c r="C11" s="69">
        <v>4.3435714285716488E+16</v>
      </c>
      <c r="D11" s="69">
        <v>2.8218750000000172E+16</v>
      </c>
      <c r="E11" s="69">
        <v>3.0411111111110708E+16</v>
      </c>
      <c r="F11" s="69">
        <v>3.8603225806453792E+16</v>
      </c>
      <c r="G11" s="69">
        <v>2.58617647058814E+16</v>
      </c>
      <c r="J11" s="72" t="s">
        <v>114</v>
      </c>
      <c r="K11" s="72">
        <v>3.4381012333731586</v>
      </c>
      <c r="L11" s="72"/>
      <c r="N11" s="71" t="s">
        <v>118</v>
      </c>
      <c r="O11" s="71">
        <v>0.36203184454851878</v>
      </c>
      <c r="P11" s="71"/>
      <c r="T11" s="72" t="s">
        <v>114</v>
      </c>
      <c r="U11" s="72">
        <v>0.29085821856934957</v>
      </c>
      <c r="V11" s="72"/>
      <c r="X11" s="71" t="s">
        <v>117</v>
      </c>
      <c r="Y11" s="71">
        <v>-1.0005724208539446</v>
      </c>
      <c r="Z11" s="71"/>
      <c r="AD11" t="str">
        <f>IF(AD8&gt;AD10, "REJECT: Unequal variances","DO NOT REJECT: Equal variances")</f>
        <v>REJECT: Unequal variances</v>
      </c>
      <c r="AG11" s="71" t="s">
        <v>119</v>
      </c>
      <c r="AH11" s="71">
        <v>1.8595480375308981</v>
      </c>
      <c r="AI11" s="71"/>
      <c r="AM11" t="str">
        <f>IF(AM8&gt;AM10, "REJECT: Unequal variances","DO NOT REJECT: Equal variances")</f>
        <v>DO NOT REJECT: Equal variances</v>
      </c>
      <c r="AP11" s="71" t="s">
        <v>118</v>
      </c>
      <c r="AQ11" s="71">
        <v>0.3549983670108432</v>
      </c>
      <c r="AR11" s="71"/>
      <c r="AV11" t="str">
        <f>IF(AV8&gt;AV10, "REJECT: Unequal variances","DO NOT REJECT: Equal variances")</f>
        <v>DO NOT REJECT: Equal variances</v>
      </c>
      <c r="AY11" s="71" t="s">
        <v>118</v>
      </c>
      <c r="AZ11" s="71">
        <v>0.29283557045496539</v>
      </c>
      <c r="BA11" s="71"/>
    </row>
    <row r="12" spans="1:53" x14ac:dyDescent="0.2">
      <c r="K12" t="str">
        <f>IF(K9&gt;K11, "REJECT: Unequal variances","DO NOT REJECT: Equal variances")</f>
        <v>REJECT: Unequal variances</v>
      </c>
      <c r="N12" s="71" t="s">
        <v>119</v>
      </c>
      <c r="O12" s="71">
        <v>1.7958848187040437</v>
      </c>
      <c r="P12" s="71"/>
      <c r="U12" t="str">
        <f>IF(U9&gt;U11, "REJECT: Unequal variances","DO NOT REJECT: Equal variances")</f>
        <v>DO NOT REJECT: Equal variances</v>
      </c>
      <c r="X12" s="71" t="s">
        <v>118</v>
      </c>
      <c r="Y12" s="71">
        <v>0.1659632393987473</v>
      </c>
      <c r="Z12" s="71"/>
      <c r="AG12" s="71" t="s">
        <v>120</v>
      </c>
      <c r="AH12" s="71">
        <v>0.31628333615212345</v>
      </c>
      <c r="AI12" s="71"/>
      <c r="AP12" s="71" t="s">
        <v>119</v>
      </c>
      <c r="AQ12" s="71">
        <v>1.7458836762762506</v>
      </c>
      <c r="AR12" s="71"/>
      <c r="AY12" s="71" t="s">
        <v>119</v>
      </c>
      <c r="AZ12" s="71">
        <v>1.7458836762762506</v>
      </c>
      <c r="BA12" s="71"/>
    </row>
    <row r="13" spans="1:53" ht="17" thickBot="1" x14ac:dyDescent="0.25">
      <c r="N13" s="71" t="s">
        <v>120</v>
      </c>
      <c r="O13" s="71">
        <v>0.72406368909703755</v>
      </c>
      <c r="P13" s="71"/>
      <c r="X13" s="71" t="s">
        <v>119</v>
      </c>
      <c r="Y13" s="71">
        <v>1.7458836762762506</v>
      </c>
      <c r="Z13" s="71"/>
      <c r="AG13" s="72" t="s">
        <v>121</v>
      </c>
      <c r="AH13" s="72">
        <v>2.3060041352041671</v>
      </c>
      <c r="AI13" s="72"/>
      <c r="AP13" s="71" t="s">
        <v>120</v>
      </c>
      <c r="AQ13" s="71">
        <v>0.70999673402168639</v>
      </c>
      <c r="AR13" s="71"/>
      <c r="AY13" s="71" t="s">
        <v>120</v>
      </c>
      <c r="AZ13" s="71">
        <v>0.58567114090993078</v>
      </c>
      <c r="BA13" s="71"/>
    </row>
    <row r="14" spans="1:53" ht="17" thickBot="1" x14ac:dyDescent="0.25">
      <c r="A14" t="s">
        <v>125</v>
      </c>
      <c r="N14" s="72" t="s">
        <v>121</v>
      </c>
      <c r="O14" s="72">
        <v>2.2009851600916384</v>
      </c>
      <c r="P14" s="72"/>
      <c r="X14" s="71" t="s">
        <v>120</v>
      </c>
      <c r="Y14" s="71">
        <v>0.3319264787974946</v>
      </c>
      <c r="Z14" s="71"/>
      <c r="AH14" s="74" t="str">
        <f>IF(AH9&lt;-AH13,"REJECT:Statistically Significant Difference",IF(AH9&gt;AH13,"REJECT:Statistically Significant Difference","DO NOT REJECT:No Statistically Significant Differences"))</f>
        <v>DO NOT REJECT:No Statistically Significant Differences</v>
      </c>
      <c r="AP14" s="72" t="s">
        <v>121</v>
      </c>
      <c r="AQ14" s="72">
        <v>2.119905299221255</v>
      </c>
      <c r="AR14" s="72"/>
      <c r="AY14" s="72" t="s">
        <v>121</v>
      </c>
      <c r="AZ14" s="72">
        <v>2.119905299221255</v>
      </c>
      <c r="BA14" s="72"/>
    </row>
    <row r="15" spans="1:53" ht="17" thickBot="1" x14ac:dyDescent="0.25">
      <c r="B15" t="s">
        <v>76</v>
      </c>
      <c r="C15" t="s">
        <v>80</v>
      </c>
      <c r="D15" s="62" t="s">
        <v>84</v>
      </c>
      <c r="E15" t="s">
        <v>96</v>
      </c>
      <c r="F15" t="s">
        <v>100</v>
      </c>
      <c r="G15" t="s">
        <v>92</v>
      </c>
      <c r="H15" t="s">
        <v>88</v>
      </c>
      <c r="O15" s="74" t="str">
        <f>IF(O10&lt;-O14,"REJECT:Statistically Significant Difference",IF(O10&gt;O14,"REJECT:Statistically Significant Difference","DO NOT REJECT:No Statistically Significant Differences"))</f>
        <v>DO NOT REJECT:No Statistically Significant Differences</v>
      </c>
      <c r="X15" s="72" t="s">
        <v>121</v>
      </c>
      <c r="Y15" s="72">
        <v>2.119905299221255</v>
      </c>
      <c r="Z15" s="72"/>
      <c r="AQ15" s="74" t="str">
        <f>IF(AQ10&lt;-AQ14,"REJECT:Statistically Significant Difference",IF(AQ10&gt;AQ14,"REJECT:Statistically Significant Difference","DO NOT REJECT:No Statistically Significant Differences"))</f>
        <v>DO NOT REJECT:No Statistically Significant Differences</v>
      </c>
      <c r="AZ15" s="74" t="str">
        <f>IF(AZ10&lt;-AZ14,"REJECT:Statistically Significant Difference",IF(AZ10&gt;AZ14,"REJECT:Statistically Significant Difference","DO NOT REJECT:No Statistically Significant Differences"))</f>
        <v>DO NOT REJECT:No Statistically Significant Differences</v>
      </c>
    </row>
    <row r="16" spans="1:53" x14ac:dyDescent="0.2">
      <c r="A16" t="s">
        <v>76</v>
      </c>
      <c r="B16" s="75"/>
      <c r="Y16" s="74" t="str">
        <f>IF(Y11&lt;-Y15,"REJECT:Statistically Significant Difference",IF(Y11&gt;Y15,"REJECT:Statistically Significant Difference","DO NOT REJECT:No Statistically Significant Differences"))</f>
        <v>DO NOT REJECT:No Statistically Significant Differences</v>
      </c>
      <c r="AC16" t="s">
        <v>108</v>
      </c>
      <c r="AG16" t="s">
        <v>122</v>
      </c>
    </row>
    <row r="17" spans="1:53" ht="17" thickBot="1" x14ac:dyDescent="0.25">
      <c r="A17" t="s">
        <v>80</v>
      </c>
      <c r="B17" t="s">
        <v>124</v>
      </c>
      <c r="C17" s="75"/>
      <c r="J17" t="s">
        <v>108</v>
      </c>
      <c r="N17" t="s">
        <v>122</v>
      </c>
      <c r="AL17" t="s">
        <v>108</v>
      </c>
      <c r="AP17" t="s">
        <v>122</v>
      </c>
      <c r="AU17" t="s">
        <v>108</v>
      </c>
      <c r="AY17" t="s">
        <v>115</v>
      </c>
    </row>
    <row r="18" spans="1:53" ht="17" thickBot="1" x14ac:dyDescent="0.25">
      <c r="A18" t="s">
        <v>84</v>
      </c>
      <c r="B18" t="s">
        <v>124</v>
      </c>
      <c r="C18" t="s">
        <v>124</v>
      </c>
      <c r="D18" s="75"/>
      <c r="T18" t="s">
        <v>108</v>
      </c>
      <c r="X18" t="s">
        <v>122</v>
      </c>
      <c r="AC18" s="73"/>
      <c r="AD18" s="73" t="s">
        <v>84</v>
      </c>
      <c r="AE18" s="73" t="s">
        <v>100</v>
      </c>
      <c r="AG18" s="73"/>
      <c r="AH18" s="73" t="s">
        <v>84</v>
      </c>
      <c r="AI18" s="73" t="s">
        <v>100</v>
      </c>
    </row>
    <row r="19" spans="1:53" ht="17" thickBot="1" x14ac:dyDescent="0.25">
      <c r="A19" t="s">
        <v>96</v>
      </c>
      <c r="B19" t="s">
        <v>124</v>
      </c>
      <c r="C19" t="s">
        <v>124</v>
      </c>
      <c r="D19" s="62" t="s">
        <v>124</v>
      </c>
      <c r="E19" s="75"/>
      <c r="J19" s="73"/>
      <c r="K19" s="73" t="s">
        <v>76</v>
      </c>
      <c r="L19" s="73" t="s">
        <v>84</v>
      </c>
      <c r="N19" s="73"/>
      <c r="O19" s="73" t="s">
        <v>76</v>
      </c>
      <c r="P19" s="73" t="s">
        <v>84</v>
      </c>
      <c r="AC19" s="71" t="s">
        <v>109</v>
      </c>
      <c r="AD19" s="71">
        <v>3.5999500499501648E+16</v>
      </c>
      <c r="AE19" s="71">
        <v>3.0893580246913196E+16</v>
      </c>
      <c r="AG19" s="71" t="s">
        <v>109</v>
      </c>
      <c r="AH19" s="71">
        <v>3.5999500499501648E+16</v>
      </c>
      <c r="AI19" s="71">
        <v>3.0893580246913196E+16</v>
      </c>
      <c r="AL19" s="73"/>
      <c r="AM19" s="73" t="s">
        <v>96</v>
      </c>
      <c r="AN19" s="73" t="s">
        <v>92</v>
      </c>
      <c r="AP19" s="73"/>
      <c r="AQ19" s="73" t="s">
        <v>96</v>
      </c>
      <c r="AR19" s="73" t="s">
        <v>92</v>
      </c>
      <c r="AU19" s="73"/>
      <c r="AV19" s="73" t="s">
        <v>100</v>
      </c>
      <c r="AW19" s="73" t="s">
        <v>88</v>
      </c>
      <c r="AY19" s="73"/>
      <c r="AZ19" s="73" t="s">
        <v>100</v>
      </c>
      <c r="BA19" s="73" t="s">
        <v>88</v>
      </c>
    </row>
    <row r="20" spans="1:53" x14ac:dyDescent="0.2">
      <c r="A20" t="s">
        <v>100</v>
      </c>
      <c r="B20" t="s">
        <v>124</v>
      </c>
      <c r="C20" t="s">
        <v>124</v>
      </c>
      <c r="D20" s="62" t="s">
        <v>124</v>
      </c>
      <c r="E20" t="s">
        <v>124</v>
      </c>
      <c r="F20" s="75"/>
      <c r="J20" s="71" t="s">
        <v>109</v>
      </c>
      <c r="K20" s="71">
        <v>2.8957864357862764E+16</v>
      </c>
      <c r="L20" s="71">
        <v>3.5999500499501648E+16</v>
      </c>
      <c r="N20" s="71" t="s">
        <v>109</v>
      </c>
      <c r="O20" s="71">
        <v>2.8957864357862764E+16</v>
      </c>
      <c r="P20" s="71">
        <v>3.5999500499501648E+16</v>
      </c>
      <c r="T20" s="73"/>
      <c r="U20" s="73" t="s">
        <v>80</v>
      </c>
      <c r="V20" s="73" t="s">
        <v>96</v>
      </c>
      <c r="X20" s="73"/>
      <c r="Y20" s="73" t="s">
        <v>80</v>
      </c>
      <c r="Z20" s="73" t="s">
        <v>96</v>
      </c>
      <c r="AC20" s="71" t="s">
        <v>110</v>
      </c>
      <c r="AD20" s="71">
        <v>3.2430323504921198E+32</v>
      </c>
      <c r="AE20" s="71">
        <v>1.1438373238819456E+32</v>
      </c>
      <c r="AG20" s="71" t="s">
        <v>110</v>
      </c>
      <c r="AH20" s="71">
        <v>3.2430323504921198E+32</v>
      </c>
      <c r="AI20" s="71">
        <v>1.1438373238819456E+32</v>
      </c>
      <c r="AL20" s="71" t="s">
        <v>109</v>
      </c>
      <c r="AM20" s="71">
        <v>2.9488565613027252E+16</v>
      </c>
      <c r="AN20" s="71">
        <v>2.8451677081791688E+16</v>
      </c>
      <c r="AP20" s="71" t="s">
        <v>109</v>
      </c>
      <c r="AQ20" s="71">
        <v>2.9488565613027252E+16</v>
      </c>
      <c r="AR20" s="71">
        <v>2.8451677081791688E+16</v>
      </c>
      <c r="AU20" s="71" t="s">
        <v>109</v>
      </c>
      <c r="AV20" s="71">
        <v>3.0893580246913196E+16</v>
      </c>
      <c r="AW20" s="71">
        <v>2.8242381513228376E+16</v>
      </c>
      <c r="AY20" s="71" t="s">
        <v>109</v>
      </c>
      <c r="AZ20" s="71">
        <v>3.0893580246913196E+16</v>
      </c>
      <c r="BA20" s="71">
        <v>2.8242381513228376E+16</v>
      </c>
    </row>
    <row r="21" spans="1:53" x14ac:dyDescent="0.2">
      <c r="A21" t="s">
        <v>92</v>
      </c>
      <c r="B21" t="s">
        <v>124</v>
      </c>
      <c r="C21" t="s">
        <v>124</v>
      </c>
      <c r="D21" s="62" t="s">
        <v>124</v>
      </c>
      <c r="E21" t="s">
        <v>124</v>
      </c>
      <c r="F21" t="s">
        <v>124</v>
      </c>
      <c r="G21" s="75"/>
      <c r="J21" s="71" t="s">
        <v>110</v>
      </c>
      <c r="K21" s="71">
        <v>5.1887530870952583E+31</v>
      </c>
      <c r="L21" s="71">
        <v>3.2430323504921198E+32</v>
      </c>
      <c r="N21" s="71" t="s">
        <v>110</v>
      </c>
      <c r="O21" s="71">
        <v>5.1887530870952583E+31</v>
      </c>
      <c r="P21" s="71">
        <v>3.2430323504921198E+32</v>
      </c>
      <c r="T21" s="71" t="s">
        <v>109</v>
      </c>
      <c r="U21" s="71">
        <v>2.9904779411764132E+16</v>
      </c>
      <c r="V21" s="71">
        <v>2.9488565613027252E+16</v>
      </c>
      <c r="X21" s="71" t="s">
        <v>109</v>
      </c>
      <c r="Y21" s="71">
        <v>2.9904779411764132E+16</v>
      </c>
      <c r="Z21" s="71">
        <v>2.9488565613027252E+16</v>
      </c>
      <c r="AC21" s="71" t="s">
        <v>111</v>
      </c>
      <c r="AD21" s="71">
        <v>9</v>
      </c>
      <c r="AE21" s="71">
        <v>9</v>
      </c>
      <c r="AG21" s="71" t="s">
        <v>111</v>
      </c>
      <c r="AH21" s="71">
        <v>9</v>
      </c>
      <c r="AI21" s="71">
        <v>9</v>
      </c>
      <c r="AL21" s="71" t="s">
        <v>110</v>
      </c>
      <c r="AM21" s="71">
        <v>9.5969484704828932E+30</v>
      </c>
      <c r="AN21" s="71">
        <v>5.8999718704778095E+31</v>
      </c>
      <c r="AP21" s="71" t="s">
        <v>110</v>
      </c>
      <c r="AQ21" s="71">
        <v>9.5969484704828932E+30</v>
      </c>
      <c r="AR21" s="71">
        <v>5.8999718704778095E+31</v>
      </c>
      <c r="AU21" s="71" t="s">
        <v>110</v>
      </c>
      <c r="AV21" s="71">
        <v>1.1438373238819456E+32</v>
      </c>
      <c r="AW21" s="71">
        <v>4.2573022713585211E+30</v>
      </c>
      <c r="AY21" s="71" t="s">
        <v>110</v>
      </c>
      <c r="AZ21" s="71">
        <v>1.1438373238819456E+32</v>
      </c>
      <c r="BA21" s="71">
        <v>4.2573022713585211E+30</v>
      </c>
    </row>
    <row r="22" spans="1:53" x14ac:dyDescent="0.2">
      <c r="A22" t="s">
        <v>88</v>
      </c>
      <c r="B22" t="s">
        <v>124</v>
      </c>
      <c r="C22" t="s">
        <v>124</v>
      </c>
      <c r="D22" s="62" t="s">
        <v>124</v>
      </c>
      <c r="E22" t="s">
        <v>124</v>
      </c>
      <c r="F22" t="s">
        <v>124</v>
      </c>
      <c r="G22" t="s">
        <v>124</v>
      </c>
      <c r="H22" s="75"/>
      <c r="J22" s="71" t="s">
        <v>111</v>
      </c>
      <c r="K22" s="71">
        <v>9</v>
      </c>
      <c r="L22" s="71">
        <v>9</v>
      </c>
      <c r="N22" s="71" t="s">
        <v>111</v>
      </c>
      <c r="O22" s="71">
        <v>9</v>
      </c>
      <c r="P22" s="71">
        <v>9</v>
      </c>
      <c r="T22" s="71" t="s">
        <v>110</v>
      </c>
      <c r="U22" s="71">
        <v>9.6249868139667373E+30</v>
      </c>
      <c r="V22" s="71">
        <v>9.5969484704828932E+30</v>
      </c>
      <c r="X22" s="71" t="s">
        <v>110</v>
      </c>
      <c r="Y22" s="71">
        <v>9.6249868139667373E+30</v>
      </c>
      <c r="Z22" s="71">
        <v>9.5969484704828932E+30</v>
      </c>
      <c r="AC22" s="71" t="s">
        <v>112</v>
      </c>
      <c r="AD22" s="71">
        <v>8</v>
      </c>
      <c r="AE22" s="71">
        <v>8</v>
      </c>
      <c r="AG22" s="71" t="s">
        <v>123</v>
      </c>
      <c r="AH22" s="71">
        <v>2.1934348371870327E+32</v>
      </c>
      <c r="AI22" s="71"/>
      <c r="AL22" s="71" t="s">
        <v>111</v>
      </c>
      <c r="AM22" s="71">
        <v>9</v>
      </c>
      <c r="AN22" s="71">
        <v>9</v>
      </c>
      <c r="AP22" s="71" t="s">
        <v>111</v>
      </c>
      <c r="AQ22" s="71">
        <v>9</v>
      </c>
      <c r="AR22" s="71">
        <v>9</v>
      </c>
      <c r="AU22" s="71" t="s">
        <v>111</v>
      </c>
      <c r="AV22" s="71">
        <v>9</v>
      </c>
      <c r="AW22" s="71">
        <v>9</v>
      </c>
      <c r="AY22" s="71" t="s">
        <v>111</v>
      </c>
      <c r="AZ22" s="71">
        <v>9</v>
      </c>
      <c r="BA22" s="71">
        <v>9</v>
      </c>
    </row>
    <row r="23" spans="1:53" x14ac:dyDescent="0.2">
      <c r="J23" s="71" t="s">
        <v>112</v>
      </c>
      <c r="K23" s="71">
        <v>8</v>
      </c>
      <c r="L23" s="71">
        <v>8</v>
      </c>
      <c r="N23" s="71" t="s">
        <v>123</v>
      </c>
      <c r="O23" s="71">
        <v>1.8809538296008228E+32</v>
      </c>
      <c r="P23" s="71"/>
      <c r="T23" s="71" t="s">
        <v>111</v>
      </c>
      <c r="U23" s="71">
        <v>9</v>
      </c>
      <c r="V23" s="71">
        <v>9</v>
      </c>
      <c r="X23" s="71" t="s">
        <v>111</v>
      </c>
      <c r="Y23" s="71">
        <v>9</v>
      </c>
      <c r="Z23" s="71">
        <v>9</v>
      </c>
      <c r="AC23" s="71" t="s">
        <v>92</v>
      </c>
      <c r="AD23" s="71">
        <v>2.8352216550216629</v>
      </c>
      <c r="AE23" s="71"/>
      <c r="AG23" s="71" t="s">
        <v>116</v>
      </c>
      <c r="AH23" s="71">
        <v>0</v>
      </c>
      <c r="AI23" s="71"/>
      <c r="AL23" s="71" t="s">
        <v>112</v>
      </c>
      <c r="AM23" s="71">
        <v>8</v>
      </c>
      <c r="AN23" s="71">
        <v>8</v>
      </c>
      <c r="AP23" s="71" t="s">
        <v>123</v>
      </c>
      <c r="AQ23" s="71">
        <v>3.4298333587630495E+31</v>
      </c>
      <c r="AR23" s="71"/>
      <c r="AU23" s="71" t="s">
        <v>112</v>
      </c>
      <c r="AV23" s="71">
        <v>8</v>
      </c>
      <c r="AW23" s="71">
        <v>8</v>
      </c>
      <c r="AY23" s="71" t="s">
        <v>116</v>
      </c>
      <c r="AZ23" s="71">
        <v>0</v>
      </c>
      <c r="BA23" s="71"/>
    </row>
    <row r="24" spans="1:53" x14ac:dyDescent="0.2">
      <c r="J24" s="71" t="s">
        <v>92</v>
      </c>
      <c r="K24" s="71">
        <v>0.15999695736331096</v>
      </c>
      <c r="L24" s="71"/>
      <c r="N24" s="71" t="s">
        <v>116</v>
      </c>
      <c r="O24" s="71">
        <v>0</v>
      </c>
      <c r="P24" s="71"/>
      <c r="T24" s="71" t="s">
        <v>112</v>
      </c>
      <c r="U24" s="71">
        <v>8</v>
      </c>
      <c r="V24" s="71">
        <v>8</v>
      </c>
      <c r="X24" s="71" t="s">
        <v>123</v>
      </c>
      <c r="Y24" s="71">
        <v>9.6109676422248152E+30</v>
      </c>
      <c r="Z24" s="71"/>
      <c r="AC24" s="71" t="s">
        <v>113</v>
      </c>
      <c r="AD24" s="71">
        <v>8.0896814915385765E-2</v>
      </c>
      <c r="AE24" s="71"/>
      <c r="AG24" s="71" t="s">
        <v>112</v>
      </c>
      <c r="AH24" s="71">
        <v>16</v>
      </c>
      <c r="AI24" s="71"/>
      <c r="AL24" s="71" t="s">
        <v>92</v>
      </c>
      <c r="AM24" s="71">
        <v>0.16266091908851227</v>
      </c>
      <c r="AN24" s="71"/>
      <c r="AP24" s="71" t="s">
        <v>116</v>
      </c>
      <c r="AQ24" s="71">
        <v>0</v>
      </c>
      <c r="AR24" s="71"/>
      <c r="AU24" s="71" t="s">
        <v>92</v>
      </c>
      <c r="AV24" s="71">
        <v>26.867655876286715</v>
      </c>
      <c r="AW24" s="71"/>
      <c r="AY24" s="71" t="s">
        <v>112</v>
      </c>
      <c r="AZ24" s="71">
        <v>9</v>
      </c>
      <c r="BA24" s="71"/>
    </row>
    <row r="25" spans="1:53" ht="17" thickBot="1" x14ac:dyDescent="0.25">
      <c r="J25" s="71" t="s">
        <v>113</v>
      </c>
      <c r="K25" s="71">
        <v>8.93710778179857E-3</v>
      </c>
      <c r="L25" s="71"/>
      <c r="N25" s="71" t="s">
        <v>112</v>
      </c>
      <c r="O25" s="71">
        <v>16</v>
      </c>
      <c r="P25" s="71"/>
      <c r="T25" s="71" t="s">
        <v>92</v>
      </c>
      <c r="U25" s="71">
        <v>1.0029215894583661</v>
      </c>
      <c r="V25" s="71"/>
      <c r="X25" s="71" t="s">
        <v>116</v>
      </c>
      <c r="Y25" s="71">
        <v>0</v>
      </c>
      <c r="Z25" s="71"/>
      <c r="AC25" s="72" t="s">
        <v>114</v>
      </c>
      <c r="AD25" s="72">
        <v>3.4381012333731586</v>
      </c>
      <c r="AE25" s="72"/>
      <c r="AG25" s="71" t="s">
        <v>117</v>
      </c>
      <c r="AH25" s="71">
        <v>0.73133762302410932</v>
      </c>
      <c r="AI25" s="71"/>
      <c r="AL25" s="71" t="s">
        <v>113</v>
      </c>
      <c r="AM25" s="71">
        <v>9.410427305210689E-3</v>
      </c>
      <c r="AN25" s="71"/>
      <c r="AP25" s="71" t="s">
        <v>112</v>
      </c>
      <c r="AQ25" s="71">
        <v>16</v>
      </c>
      <c r="AR25" s="71"/>
      <c r="AU25" s="71" t="s">
        <v>113</v>
      </c>
      <c r="AV25" s="71">
        <v>5.3181971066604878E-5</v>
      </c>
      <c r="AW25" s="71"/>
      <c r="AY25" s="71" t="s">
        <v>117</v>
      </c>
      <c r="AZ25" s="71">
        <v>0.73020714072202297</v>
      </c>
      <c r="BA25" s="71"/>
    </row>
    <row r="26" spans="1:53" ht="17" thickBot="1" x14ac:dyDescent="0.25">
      <c r="J26" s="72" t="s">
        <v>114</v>
      </c>
      <c r="K26" s="72">
        <v>0.29085821856934957</v>
      </c>
      <c r="L26" s="72"/>
      <c r="N26" s="71" t="s">
        <v>117</v>
      </c>
      <c r="O26" s="71">
        <v>-1.0891577083306163</v>
      </c>
      <c r="P26" s="71"/>
      <c r="T26" s="71" t="s">
        <v>113</v>
      </c>
      <c r="U26" s="71">
        <v>0.49840458973138407</v>
      </c>
      <c r="V26" s="71"/>
      <c r="X26" s="71" t="s">
        <v>112</v>
      </c>
      <c r="Y26" s="71">
        <v>16</v>
      </c>
      <c r="Z26" s="71"/>
      <c r="AD26" t="str">
        <f>IF(AD23&gt;AD25, "REJECT: Unequal variances","DO NOT REJECT: Equal variances")</f>
        <v>DO NOT REJECT: Equal variances</v>
      </c>
      <c r="AG26" s="71" t="s">
        <v>118</v>
      </c>
      <c r="AH26" s="71">
        <v>0.2375741875102575</v>
      </c>
      <c r="AI26" s="71"/>
      <c r="AL26" s="72" t="s">
        <v>114</v>
      </c>
      <c r="AM26" s="72">
        <v>0.29085821856934957</v>
      </c>
      <c r="AN26" s="72"/>
      <c r="AP26" s="71" t="s">
        <v>117</v>
      </c>
      <c r="AQ26" s="71">
        <v>0.37557944666346921</v>
      </c>
      <c r="AR26" s="71"/>
      <c r="AU26" s="72" t="s">
        <v>114</v>
      </c>
      <c r="AV26" s="72">
        <v>3.4381012333731586</v>
      </c>
      <c r="AW26" s="72"/>
      <c r="AY26" s="71" t="s">
        <v>118</v>
      </c>
      <c r="AZ26" s="71">
        <v>0.24191810810503567</v>
      </c>
      <c r="BA26" s="71"/>
    </row>
    <row r="27" spans="1:53" ht="17" thickBot="1" x14ac:dyDescent="0.25">
      <c r="A27" t="s">
        <v>126</v>
      </c>
      <c r="B27">
        <f>TTEST($A$3:$A$11,B$3:B$11,2,2)</f>
        <v>0.72194084616890042</v>
      </c>
      <c r="D27" s="62" t="s">
        <v>137</v>
      </c>
      <c r="K27" t="str">
        <f>IF(K24&gt;K26, "REJECT: Unequal variances","DO NOT REJECT: Equal variances")</f>
        <v>DO NOT REJECT: Equal variances</v>
      </c>
      <c r="N27" s="71" t="s">
        <v>118</v>
      </c>
      <c r="O27" s="71">
        <v>0.14610886626091971</v>
      </c>
      <c r="P27" s="71"/>
      <c r="T27" s="72" t="s">
        <v>114</v>
      </c>
      <c r="U27" s="72">
        <v>3.4381012333731586</v>
      </c>
      <c r="V27" s="72"/>
      <c r="X27" s="71" t="s">
        <v>117</v>
      </c>
      <c r="Y27" s="71">
        <v>0.28479946794156785</v>
      </c>
      <c r="Z27" s="71"/>
      <c r="AG27" s="71" t="s">
        <v>119</v>
      </c>
      <c r="AH27" s="71">
        <v>1.7458836762762506</v>
      </c>
      <c r="AI27" s="71"/>
      <c r="AM27" t="str">
        <f>IF(AM24&gt;AM26, "REJECT: Unequal variances","DO NOT REJECT: Equal variances")</f>
        <v>DO NOT REJECT: Equal variances</v>
      </c>
      <c r="AP27" s="71" t="s">
        <v>118</v>
      </c>
      <c r="AQ27" s="71">
        <v>0.35608115219377134</v>
      </c>
      <c r="AR27" s="71"/>
      <c r="AV27" t="str">
        <f>IF(AV24&gt;AV26, "REJECT: Unequal variances","DO NOT REJECT: Equal variances")</f>
        <v>REJECT: Unequal variances</v>
      </c>
      <c r="AY27" s="71" t="s">
        <v>119</v>
      </c>
      <c r="AZ27" s="71">
        <v>1.8331129326562374</v>
      </c>
      <c r="BA27" s="71"/>
    </row>
    <row r="28" spans="1:53" x14ac:dyDescent="0.2">
      <c r="A28" t="s">
        <v>127</v>
      </c>
      <c r="B28">
        <f>TTEST($A$3:$A$11,C$3:C$11,2,2)</f>
        <v>0.29221773252183897</v>
      </c>
      <c r="D28" s="62" t="s">
        <v>138</v>
      </c>
      <c r="N28" s="71" t="s">
        <v>119</v>
      </c>
      <c r="O28" s="71">
        <v>1.7458836762762506</v>
      </c>
      <c r="P28" s="71"/>
      <c r="U28" t="str">
        <f>IF(U25&gt;U27, "REJECT: Unequal variances","DO NOT REJECT: Equal variances")</f>
        <v>DO NOT REJECT: Equal variances</v>
      </c>
      <c r="X28" s="71" t="s">
        <v>118</v>
      </c>
      <c r="Y28" s="71">
        <v>0.38972554805492082</v>
      </c>
      <c r="Z28" s="71"/>
      <c r="AG28" s="71" t="s">
        <v>120</v>
      </c>
      <c r="AH28" s="71">
        <v>0.47514837502051499</v>
      </c>
      <c r="AI28" s="71"/>
      <c r="AP28" s="71" t="s">
        <v>119</v>
      </c>
      <c r="AQ28" s="71">
        <v>1.7458836762762506</v>
      </c>
      <c r="AR28" s="71"/>
      <c r="AY28" s="71" t="s">
        <v>120</v>
      </c>
      <c r="AZ28" s="71">
        <v>0.48383621621007133</v>
      </c>
      <c r="BA28" s="71"/>
    </row>
    <row r="29" spans="1:53" ht="17" thickBot="1" x14ac:dyDescent="0.25">
      <c r="A29" t="s">
        <v>128</v>
      </c>
      <c r="B29">
        <f>TTEST($A$3:$A$11,D$3:D$11,2,2)</f>
        <v>0.84166084722913181</v>
      </c>
      <c r="D29" s="62" t="s">
        <v>139</v>
      </c>
      <c r="N29" s="71" t="s">
        <v>120</v>
      </c>
      <c r="O29" s="71">
        <v>0.29221773252183941</v>
      </c>
      <c r="P29" s="71"/>
      <c r="X29" s="71" t="s">
        <v>119</v>
      </c>
      <c r="Y29" s="71">
        <v>1.7458836762762506</v>
      </c>
      <c r="Z29" s="71"/>
      <c r="AG29" s="72" t="s">
        <v>121</v>
      </c>
      <c r="AH29" s="72">
        <v>2.119905299221255</v>
      </c>
      <c r="AI29" s="72"/>
      <c r="AP29" s="71" t="s">
        <v>120</v>
      </c>
      <c r="AQ29" s="71">
        <v>0.71216230438754269</v>
      </c>
      <c r="AR29" s="71"/>
      <c r="AY29" s="72" t="s">
        <v>121</v>
      </c>
      <c r="AZ29" s="72">
        <v>2.2621571627982053</v>
      </c>
      <c r="BA29" s="72"/>
    </row>
    <row r="30" spans="1:53" ht="17" thickBot="1" x14ac:dyDescent="0.25">
      <c r="A30" t="s">
        <v>129</v>
      </c>
      <c r="B30">
        <f>TTEST($A$3:$A$11,E$3:E$11,2,2)</f>
        <v>0.65849745518345637</v>
      </c>
      <c r="D30" s="62" t="s">
        <v>140</v>
      </c>
      <c r="N30" s="72" t="s">
        <v>121</v>
      </c>
      <c r="O30" s="72">
        <v>2.119905299221255</v>
      </c>
      <c r="P30" s="72"/>
      <c r="X30" s="71" t="s">
        <v>120</v>
      </c>
      <c r="Y30" s="71">
        <v>0.77945109610984165</v>
      </c>
      <c r="Z30" s="71"/>
      <c r="AH30" s="74" t="str">
        <f>IF(AH25&lt;-AH29,"REJECT:Statistically Significant Difference",IF(AH25&gt;AH29,"REJECT:Statistically Significant Difference","DO NOT REJECT:No Statistically Significant Differences"))</f>
        <v>DO NOT REJECT:No Statistically Significant Differences</v>
      </c>
      <c r="AP30" s="72" t="s">
        <v>121</v>
      </c>
      <c r="AQ30" s="72">
        <v>2.119905299221255</v>
      </c>
      <c r="AR30" s="72"/>
      <c r="AZ30" s="74" t="str">
        <f>IF(AZ25&lt;-AZ29,"REJECT:Statistically Significant Difference",IF(AZ25&gt;AZ29,"REJECT:Statistically Significant Difference","DO NOT REJECT:No Statistically Significant Differences"))</f>
        <v>DO NOT REJECT:No Statistically Significant Differences</v>
      </c>
    </row>
    <row r="31" spans="1:53" ht="17" thickBot="1" x14ac:dyDescent="0.25">
      <c r="A31" t="s">
        <v>130</v>
      </c>
      <c r="B31">
        <f>TTEST($A$3:$A$11,F$3:F$11,2,2)</f>
        <v>0.8871363999579972</v>
      </c>
      <c r="D31" s="62" t="s">
        <v>141</v>
      </c>
      <c r="O31" s="74" t="str">
        <f>IF(O26&lt;-O30,"REJECT:Statistically Significant Difference",IF(O26&gt;O30,"REJECT:Statistically Significant Difference","DO NOT REJECT:No Statistically Significant Differences"))</f>
        <v>DO NOT REJECT:No Statistically Significant Differences</v>
      </c>
      <c r="X31" s="72" t="s">
        <v>121</v>
      </c>
      <c r="Y31" s="72">
        <v>2.119905299221255</v>
      </c>
      <c r="Z31" s="72"/>
      <c r="AQ31" s="74" t="str">
        <f>IF(AQ26&lt;-AQ30,"REJECT:Statistically Significant Difference",IF(AQ26&gt;AQ30,"REJECT:Statistically Significant Difference","DO NOT REJECT:No Statistically Significant Differences"))</f>
        <v>DO NOT REJECT:No Statistically Significant Differences</v>
      </c>
    </row>
    <row r="32" spans="1:53" x14ac:dyDescent="0.2">
      <c r="A32" t="s">
        <v>131</v>
      </c>
      <c r="B32">
        <f t="shared" ref="B32:B37" si="0">TTEST($A$3:$A$11,B$3:B$11,2,2)</f>
        <v>0.72194084616890042</v>
      </c>
      <c r="D32" s="62" t="s">
        <v>142</v>
      </c>
      <c r="Y32" s="74" t="str">
        <f>IF(Y27&lt;-Y31,"REJECT:Statistically Significant Difference",IF(Y27&gt;Y31,"REJECT:Statistically Significant Difference","DO NOT REJECT:No Statistically Significant Differences"))</f>
        <v>DO NOT REJECT:No Statistically Significant Differences</v>
      </c>
      <c r="AC32" t="s">
        <v>108</v>
      </c>
      <c r="AG32" t="s">
        <v>115</v>
      </c>
      <c r="AU32" t="s">
        <v>108</v>
      </c>
      <c r="AY32" t="s">
        <v>115</v>
      </c>
    </row>
    <row r="33" spans="1:53" ht="17" thickBot="1" x14ac:dyDescent="0.25">
      <c r="A33" t="s">
        <v>132</v>
      </c>
      <c r="B33">
        <f>TTEST($A$3:$A$11,G$3:G$11,2,2)</f>
        <v>0.77820110912286511</v>
      </c>
      <c r="D33" s="62" t="s">
        <v>143</v>
      </c>
      <c r="J33" t="s">
        <v>108</v>
      </c>
      <c r="N33" t="s">
        <v>115</v>
      </c>
      <c r="AL33" t="s">
        <v>108</v>
      </c>
      <c r="AP33" t="s">
        <v>122</v>
      </c>
    </row>
    <row r="34" spans="1:53" ht="17" thickBot="1" x14ac:dyDescent="0.25">
      <c r="A34" t="s">
        <v>133</v>
      </c>
      <c r="B34">
        <f t="shared" si="0"/>
        <v>0.72194084616890042</v>
      </c>
      <c r="D34" s="62" t="s">
        <v>144</v>
      </c>
      <c r="T34" t="s">
        <v>108</v>
      </c>
      <c r="X34" t="s">
        <v>122</v>
      </c>
      <c r="AC34" s="73"/>
      <c r="AD34" s="73" t="s">
        <v>84</v>
      </c>
      <c r="AE34" s="73" t="s">
        <v>92</v>
      </c>
      <c r="AG34" s="73"/>
      <c r="AH34" s="73" t="s">
        <v>84</v>
      </c>
      <c r="AI34" s="73" t="s">
        <v>92</v>
      </c>
      <c r="AU34" s="73"/>
      <c r="AV34" s="73" t="s">
        <v>92</v>
      </c>
      <c r="AW34" s="73" t="s">
        <v>88</v>
      </c>
      <c r="AY34" s="73"/>
      <c r="AZ34" s="73" t="s">
        <v>92</v>
      </c>
      <c r="BA34" s="73" t="s">
        <v>88</v>
      </c>
    </row>
    <row r="35" spans="1:53" ht="17" thickBot="1" x14ac:dyDescent="0.25">
      <c r="A35" t="s">
        <v>134</v>
      </c>
      <c r="B35">
        <f t="shared" si="0"/>
        <v>0.72194084616890042</v>
      </c>
      <c r="D35" s="62" t="s">
        <v>145</v>
      </c>
      <c r="J35" s="73"/>
      <c r="K35" s="73" t="s">
        <v>76</v>
      </c>
      <c r="L35" s="73" t="s">
        <v>96</v>
      </c>
      <c r="N35" s="73"/>
      <c r="O35" s="73" t="s">
        <v>76</v>
      </c>
      <c r="P35" s="73" t="s">
        <v>96</v>
      </c>
      <c r="AC35" s="71" t="s">
        <v>109</v>
      </c>
      <c r="AD35" s="71">
        <v>3.5999500499501648E+16</v>
      </c>
      <c r="AE35" s="71">
        <v>2.8451677081791688E+16</v>
      </c>
      <c r="AG35" s="71" t="s">
        <v>109</v>
      </c>
      <c r="AH35" s="71">
        <v>3.5999500499501648E+16</v>
      </c>
      <c r="AI35" s="71">
        <v>2.8451677081791688E+16</v>
      </c>
      <c r="AL35" s="73"/>
      <c r="AM35" s="73" t="s">
        <v>96</v>
      </c>
      <c r="AN35" s="73" t="s">
        <v>88</v>
      </c>
      <c r="AP35" s="73"/>
      <c r="AQ35" s="73" t="s">
        <v>96</v>
      </c>
      <c r="AR35" s="73" t="s">
        <v>88</v>
      </c>
      <c r="AU35" s="71" t="s">
        <v>109</v>
      </c>
      <c r="AV35" s="71">
        <v>2.8451677081791688E+16</v>
      </c>
      <c r="AW35" s="71">
        <v>2.8242381513228376E+16</v>
      </c>
      <c r="AY35" s="71" t="s">
        <v>109</v>
      </c>
      <c r="AZ35" s="71">
        <v>2.8451677081791688E+16</v>
      </c>
      <c r="BA35" s="71">
        <v>2.8242381513228376E+16</v>
      </c>
    </row>
    <row r="36" spans="1:53" x14ac:dyDescent="0.2">
      <c r="A36" t="s">
        <v>135</v>
      </c>
      <c r="B36">
        <f t="shared" si="0"/>
        <v>0.72194084616890042</v>
      </c>
      <c r="D36" s="62" t="s">
        <v>146</v>
      </c>
      <c r="J36" s="71" t="s">
        <v>109</v>
      </c>
      <c r="K36" s="71">
        <v>2.8957864357862764E+16</v>
      </c>
      <c r="L36" s="71">
        <v>2.9488565613027252E+16</v>
      </c>
      <c r="N36" s="71" t="s">
        <v>109</v>
      </c>
      <c r="O36" s="71">
        <v>2.8957864357862764E+16</v>
      </c>
      <c r="P36" s="71">
        <v>2.9488565613027252E+16</v>
      </c>
      <c r="T36" s="73"/>
      <c r="U36" s="73" t="s">
        <v>80</v>
      </c>
      <c r="V36" s="73" t="s">
        <v>100</v>
      </c>
      <c r="X36" s="73"/>
      <c r="Y36" s="73" t="s">
        <v>80</v>
      </c>
      <c r="Z36" s="73" t="s">
        <v>100</v>
      </c>
      <c r="AC36" s="71" t="s">
        <v>110</v>
      </c>
      <c r="AD36" s="71">
        <v>3.2430323504921198E+32</v>
      </c>
      <c r="AE36" s="71">
        <v>5.8999718704778095E+31</v>
      </c>
      <c r="AG36" s="71" t="s">
        <v>110</v>
      </c>
      <c r="AH36" s="71">
        <v>3.2430323504921198E+32</v>
      </c>
      <c r="AI36" s="71">
        <v>5.8999718704778095E+31</v>
      </c>
      <c r="AL36" s="71" t="s">
        <v>109</v>
      </c>
      <c r="AM36" s="71">
        <v>2.9488565613027252E+16</v>
      </c>
      <c r="AN36" s="71">
        <v>2.8242381513228376E+16</v>
      </c>
      <c r="AP36" s="71" t="s">
        <v>109</v>
      </c>
      <c r="AQ36" s="71">
        <v>2.9488565613027252E+16</v>
      </c>
      <c r="AR36" s="71">
        <v>2.8242381513228376E+16</v>
      </c>
      <c r="AU36" s="71" t="s">
        <v>110</v>
      </c>
      <c r="AV36" s="71">
        <v>5.8999718704778095E+31</v>
      </c>
      <c r="AW36" s="71">
        <v>4.2573022713585211E+30</v>
      </c>
      <c r="AY36" s="71" t="s">
        <v>110</v>
      </c>
      <c r="AZ36" s="71">
        <v>5.8999718704778095E+31</v>
      </c>
      <c r="BA36" s="71">
        <v>4.2573022713585211E+30</v>
      </c>
    </row>
    <row r="37" spans="1:53" x14ac:dyDescent="0.2">
      <c r="A37" t="s">
        <v>136</v>
      </c>
      <c r="B37">
        <f t="shared" si="0"/>
        <v>0.72194084616890042</v>
      </c>
      <c r="J37" s="71" t="s">
        <v>110</v>
      </c>
      <c r="K37" s="71">
        <v>5.1887530870952583E+31</v>
      </c>
      <c r="L37" s="71">
        <v>9.5969484704828932E+30</v>
      </c>
      <c r="N37" s="71" t="s">
        <v>110</v>
      </c>
      <c r="O37" s="71">
        <v>5.1887530870952583E+31</v>
      </c>
      <c r="P37" s="71">
        <v>9.5969484704828932E+30</v>
      </c>
      <c r="T37" s="71" t="s">
        <v>109</v>
      </c>
      <c r="U37" s="71">
        <v>2.9904779411764132E+16</v>
      </c>
      <c r="V37" s="71">
        <v>3.0893580246913196E+16</v>
      </c>
      <c r="X37" s="71" t="s">
        <v>109</v>
      </c>
      <c r="Y37" s="71">
        <v>2.9904779411764132E+16</v>
      </c>
      <c r="Z37" s="71">
        <v>3.0893580246913196E+16</v>
      </c>
      <c r="AC37" s="71" t="s">
        <v>111</v>
      </c>
      <c r="AD37" s="71">
        <v>9</v>
      </c>
      <c r="AE37" s="71">
        <v>9</v>
      </c>
      <c r="AG37" s="71" t="s">
        <v>111</v>
      </c>
      <c r="AH37" s="71">
        <v>9</v>
      </c>
      <c r="AI37" s="71">
        <v>9</v>
      </c>
      <c r="AL37" s="71" t="s">
        <v>110</v>
      </c>
      <c r="AM37" s="71">
        <v>9.5969484704828932E+30</v>
      </c>
      <c r="AN37" s="71">
        <v>4.2573022713585211E+30</v>
      </c>
      <c r="AP37" s="71" t="s">
        <v>110</v>
      </c>
      <c r="AQ37" s="71">
        <v>9.5969484704828932E+30</v>
      </c>
      <c r="AR37" s="71">
        <v>4.2573022713585211E+30</v>
      </c>
      <c r="AU37" s="71" t="s">
        <v>111</v>
      </c>
      <c r="AV37" s="71">
        <v>9</v>
      </c>
      <c r="AW37" s="71">
        <v>9</v>
      </c>
      <c r="AY37" s="71" t="s">
        <v>111</v>
      </c>
      <c r="AZ37" s="71">
        <v>9</v>
      </c>
      <c r="BA37" s="71">
        <v>9</v>
      </c>
    </row>
    <row r="38" spans="1:53" x14ac:dyDescent="0.2">
      <c r="J38" s="71" t="s">
        <v>111</v>
      </c>
      <c r="K38" s="71">
        <v>9</v>
      </c>
      <c r="L38" s="71">
        <v>9</v>
      </c>
      <c r="N38" s="71" t="s">
        <v>111</v>
      </c>
      <c r="O38" s="71">
        <v>9</v>
      </c>
      <c r="P38" s="71">
        <v>9</v>
      </c>
      <c r="T38" s="71" t="s">
        <v>110</v>
      </c>
      <c r="U38" s="71">
        <v>9.6249868139667373E+30</v>
      </c>
      <c r="V38" s="71">
        <v>1.1438373238819456E+32</v>
      </c>
      <c r="X38" s="71" t="s">
        <v>110</v>
      </c>
      <c r="Y38" s="71">
        <v>9.6249868139667373E+30</v>
      </c>
      <c r="Z38" s="71">
        <v>1.1438373238819456E+32</v>
      </c>
      <c r="AC38" s="71" t="s">
        <v>112</v>
      </c>
      <c r="AD38" s="71">
        <v>8</v>
      </c>
      <c r="AE38" s="71">
        <v>8</v>
      </c>
      <c r="AG38" s="71" t="s">
        <v>116</v>
      </c>
      <c r="AH38" s="71">
        <v>0</v>
      </c>
      <c r="AI38" s="71"/>
      <c r="AL38" s="71" t="s">
        <v>111</v>
      </c>
      <c r="AM38" s="71">
        <v>9</v>
      </c>
      <c r="AN38" s="71">
        <v>9</v>
      </c>
      <c r="AP38" s="71" t="s">
        <v>111</v>
      </c>
      <c r="AQ38" s="71">
        <v>9</v>
      </c>
      <c r="AR38" s="71">
        <v>9</v>
      </c>
      <c r="AU38" s="71" t="s">
        <v>112</v>
      </c>
      <c r="AV38" s="71">
        <v>8</v>
      </c>
      <c r="AW38" s="71">
        <v>8</v>
      </c>
      <c r="AY38" s="71" t="s">
        <v>116</v>
      </c>
      <c r="AZ38" s="71">
        <v>0</v>
      </c>
      <c r="BA38" s="71"/>
    </row>
    <row r="39" spans="1:53" x14ac:dyDescent="0.2">
      <c r="J39" s="71" t="s">
        <v>112</v>
      </c>
      <c r="K39" s="71">
        <v>8</v>
      </c>
      <c r="L39" s="71">
        <v>8</v>
      </c>
      <c r="N39" s="71" t="s">
        <v>116</v>
      </c>
      <c r="O39" s="71">
        <v>0</v>
      </c>
      <c r="P39" s="71"/>
      <c r="T39" s="71" t="s">
        <v>111</v>
      </c>
      <c r="U39" s="71">
        <v>9</v>
      </c>
      <c r="V39" s="71">
        <v>9</v>
      </c>
      <c r="X39" s="71" t="s">
        <v>111</v>
      </c>
      <c r="Y39" s="71">
        <v>9</v>
      </c>
      <c r="Z39" s="71">
        <v>9</v>
      </c>
      <c r="AC39" s="71" t="s">
        <v>92</v>
      </c>
      <c r="AD39" s="71">
        <v>5.4966912074946599</v>
      </c>
      <c r="AE39" s="71"/>
      <c r="AG39" s="71" t="s">
        <v>112</v>
      </c>
      <c r="AH39" s="71">
        <v>11</v>
      </c>
      <c r="AI39" s="71"/>
      <c r="AL39" s="71" t="s">
        <v>112</v>
      </c>
      <c r="AM39" s="71">
        <v>8</v>
      </c>
      <c r="AN39" s="71">
        <v>8</v>
      </c>
      <c r="AP39" s="71" t="s">
        <v>123</v>
      </c>
      <c r="AQ39" s="71">
        <v>6.9271253709207077E+30</v>
      </c>
      <c r="AR39" s="71"/>
      <c r="AU39" s="71" t="s">
        <v>92</v>
      </c>
      <c r="AV39" s="71">
        <v>13.8584753781063</v>
      </c>
      <c r="AW39" s="71"/>
      <c r="AY39" s="71" t="s">
        <v>112</v>
      </c>
      <c r="AZ39" s="71">
        <v>9</v>
      </c>
      <c r="BA39" s="71"/>
    </row>
    <row r="40" spans="1:53" x14ac:dyDescent="0.2">
      <c r="J40" s="71" t="s">
        <v>92</v>
      </c>
      <c r="K40" s="71">
        <v>5.4066697378382127</v>
      </c>
      <c r="L40" s="71"/>
      <c r="N40" s="71" t="s">
        <v>112</v>
      </c>
      <c r="O40" s="71">
        <v>11</v>
      </c>
      <c r="P40" s="71"/>
      <c r="T40" s="71" t="s">
        <v>112</v>
      </c>
      <c r="U40" s="71">
        <v>8</v>
      </c>
      <c r="V40" s="71">
        <v>8</v>
      </c>
      <c r="X40" s="71" t="s">
        <v>123</v>
      </c>
      <c r="Y40" s="71">
        <v>6.2004359601080647E+31</v>
      </c>
      <c r="Z40" s="71"/>
      <c r="AC40" s="71" t="s">
        <v>113</v>
      </c>
      <c r="AD40" s="71">
        <v>1.3279157010279994E-2</v>
      </c>
      <c r="AE40" s="71"/>
      <c r="AG40" s="71" t="s">
        <v>117</v>
      </c>
      <c r="AH40" s="71">
        <v>1.1565699465358279</v>
      </c>
      <c r="AI40" s="71"/>
      <c r="AL40" s="71" t="s">
        <v>92</v>
      </c>
      <c r="AM40" s="71">
        <v>2.2542323421682884</v>
      </c>
      <c r="AN40" s="71"/>
      <c r="AP40" s="71" t="s">
        <v>116</v>
      </c>
      <c r="AQ40" s="71">
        <v>0</v>
      </c>
      <c r="AR40" s="71"/>
      <c r="AU40" s="71" t="s">
        <v>113</v>
      </c>
      <c r="AV40" s="71">
        <v>6.0847038549681769E-4</v>
      </c>
      <c r="AW40" s="71"/>
      <c r="AY40" s="71" t="s">
        <v>117</v>
      </c>
      <c r="AZ40" s="71">
        <v>7.8945416456171466E-2</v>
      </c>
      <c r="BA40" s="71"/>
    </row>
    <row r="41" spans="1:53" ht="17" thickBot="1" x14ac:dyDescent="0.25">
      <c r="J41" s="71" t="s">
        <v>113</v>
      </c>
      <c r="K41" s="71">
        <v>1.3959559120796093E-2</v>
      </c>
      <c r="L41" s="71"/>
      <c r="N41" s="71" t="s">
        <v>117</v>
      </c>
      <c r="O41" s="71">
        <v>-0.20304327960554058</v>
      </c>
      <c r="P41" s="71"/>
      <c r="T41" s="71" t="s">
        <v>92</v>
      </c>
      <c r="U41" s="71">
        <v>8.4146465699349082E-2</v>
      </c>
      <c r="V41" s="71"/>
      <c r="X41" s="71" t="s">
        <v>116</v>
      </c>
      <c r="Y41" s="71">
        <v>0</v>
      </c>
      <c r="Z41" s="71"/>
      <c r="AC41" s="72" t="s">
        <v>114</v>
      </c>
      <c r="AD41" s="72">
        <v>3.4381012333731586</v>
      </c>
      <c r="AE41" s="72"/>
      <c r="AG41" s="71" t="s">
        <v>118</v>
      </c>
      <c r="AH41" s="71">
        <v>0.13597425818143347</v>
      </c>
      <c r="AI41" s="71"/>
      <c r="AL41" s="71" t="s">
        <v>113</v>
      </c>
      <c r="AM41" s="71">
        <v>0.13568691183524595</v>
      </c>
      <c r="AN41" s="71"/>
      <c r="AP41" s="71" t="s">
        <v>112</v>
      </c>
      <c r="AQ41" s="71">
        <v>16</v>
      </c>
      <c r="AR41" s="71"/>
      <c r="AU41" s="72" t="s">
        <v>114</v>
      </c>
      <c r="AV41" s="72">
        <v>3.4381012333731586</v>
      </c>
      <c r="AW41" s="72"/>
      <c r="AY41" s="71" t="s">
        <v>118</v>
      </c>
      <c r="AZ41" s="71">
        <v>0.4694017340668839</v>
      </c>
      <c r="BA41" s="71"/>
    </row>
    <row r="42" spans="1:53" ht="17" thickBot="1" x14ac:dyDescent="0.25">
      <c r="J42" s="72" t="s">
        <v>114</v>
      </c>
      <c r="K42" s="72">
        <v>3.4381012333731586</v>
      </c>
      <c r="L42" s="72"/>
      <c r="N42" s="71" t="s">
        <v>118</v>
      </c>
      <c r="O42" s="71">
        <v>0.42140411102111264</v>
      </c>
      <c r="P42" s="71"/>
      <c r="T42" s="71" t="s">
        <v>113</v>
      </c>
      <c r="U42" s="71">
        <v>1.0485254855443493E-3</v>
      </c>
      <c r="V42" s="71"/>
      <c r="X42" s="71" t="s">
        <v>112</v>
      </c>
      <c r="Y42" s="71">
        <v>16</v>
      </c>
      <c r="Z42" s="71"/>
      <c r="AD42" t="str">
        <f>IF(AD39&gt;AD41, "REJECT: Unequal variances","DO NOT REJECT: Equal variances")</f>
        <v>REJECT: Unequal variances</v>
      </c>
      <c r="AG42" s="71" t="s">
        <v>119</v>
      </c>
      <c r="AH42" s="71">
        <v>1.7958848187040437</v>
      </c>
      <c r="AI42" s="71"/>
      <c r="AL42" s="72" t="s">
        <v>114</v>
      </c>
      <c r="AM42" s="72">
        <v>3.4381012333731586</v>
      </c>
      <c r="AN42" s="72"/>
      <c r="AP42" s="71" t="s">
        <v>117</v>
      </c>
      <c r="AQ42" s="71">
        <v>1.0044121064160267</v>
      </c>
      <c r="AR42" s="71"/>
      <c r="AV42" t="str">
        <f>IF(AV39&gt;AV41, "REJECT: Unequal variances","DO NOT REJECT: Equal variances")</f>
        <v>REJECT: Unequal variances</v>
      </c>
      <c r="AY42" s="71" t="s">
        <v>119</v>
      </c>
      <c r="AZ42" s="71">
        <v>1.8331129326562374</v>
      </c>
      <c r="BA42" s="71"/>
    </row>
    <row r="43" spans="1:53" ht="17" thickBot="1" x14ac:dyDescent="0.25">
      <c r="K43" t="str">
        <f>IF(K40&gt;K42, "REJECT: Unequal variances","DO NOT REJECT: Equal variances")</f>
        <v>REJECT: Unequal variances</v>
      </c>
      <c r="N43" s="71" t="s">
        <v>119</v>
      </c>
      <c r="O43" s="71">
        <v>1.7958848187040437</v>
      </c>
      <c r="P43" s="71"/>
      <c r="T43" s="72" t="s">
        <v>114</v>
      </c>
      <c r="U43" s="72">
        <v>0.29085821856934957</v>
      </c>
      <c r="V43" s="72"/>
      <c r="X43" s="71" t="s">
        <v>117</v>
      </c>
      <c r="Y43" s="71">
        <v>-0.2663814436682384</v>
      </c>
      <c r="Z43" s="71"/>
      <c r="AG43" s="71" t="s">
        <v>120</v>
      </c>
      <c r="AH43" s="71">
        <v>0.27194851636286693</v>
      </c>
      <c r="AI43" s="71"/>
      <c r="AM43" t="str">
        <f>IF(AM40&gt;AM42, "REJECT: Unequal variances","DO NOT REJECT: Equal variances")</f>
        <v>DO NOT REJECT: Equal variances</v>
      </c>
      <c r="AP43" s="71" t="s">
        <v>118</v>
      </c>
      <c r="AQ43" s="71">
        <v>0.16506468420197684</v>
      </c>
      <c r="AR43" s="71"/>
      <c r="AY43" s="71" t="s">
        <v>120</v>
      </c>
      <c r="AZ43" s="71">
        <v>0.9388034681337678</v>
      </c>
      <c r="BA43" s="71"/>
    </row>
    <row r="44" spans="1:53" ht="17" thickBot="1" x14ac:dyDescent="0.25">
      <c r="N44" s="71" t="s">
        <v>120</v>
      </c>
      <c r="O44" s="71">
        <v>0.84280822204222527</v>
      </c>
      <c r="P44" s="71"/>
      <c r="U44" t="str">
        <f>IF(U41&gt;U43, "REJECT: Unequal variances","DO NOT REJECT: Equal variances")</f>
        <v>DO NOT REJECT: Equal variances</v>
      </c>
      <c r="X44" s="71" t="s">
        <v>118</v>
      </c>
      <c r="Y44" s="71">
        <v>0.39667393629593817</v>
      </c>
      <c r="Z44" s="71"/>
      <c r="AG44" s="72" t="s">
        <v>121</v>
      </c>
      <c r="AH44" s="72">
        <v>2.2009851600916384</v>
      </c>
      <c r="AI44" s="72"/>
      <c r="AP44" s="71" t="s">
        <v>119</v>
      </c>
      <c r="AQ44" s="71">
        <v>1.7458836762762506</v>
      </c>
      <c r="AR44" s="71"/>
      <c r="AY44" s="72" t="s">
        <v>121</v>
      </c>
      <c r="AZ44" s="72">
        <v>2.2621571627982053</v>
      </c>
      <c r="BA44" s="72"/>
    </row>
    <row r="45" spans="1:53" ht="17" thickBot="1" x14ac:dyDescent="0.25">
      <c r="N45" s="72" t="s">
        <v>121</v>
      </c>
      <c r="O45" s="72">
        <v>2.2009851600916384</v>
      </c>
      <c r="P45" s="72"/>
      <c r="X45" s="71" t="s">
        <v>119</v>
      </c>
      <c r="Y45" s="71">
        <v>1.7458836762762506</v>
      </c>
      <c r="Z45" s="71"/>
      <c r="AH45" s="74" t="str">
        <f>IF(AH40&lt;-AH44,"REJECT:Statistically Significant Difference",IF(AH40&gt;AH44,"REJECT:Statistically Significant Difference","DO NOT REJECT:No Statistically Significant Differences"))</f>
        <v>DO NOT REJECT:No Statistically Significant Differences</v>
      </c>
      <c r="AP45" s="71" t="s">
        <v>120</v>
      </c>
      <c r="AQ45" s="71">
        <v>0.33012936840395368</v>
      </c>
      <c r="AR45" s="71"/>
      <c r="AZ45" s="74" t="str">
        <f>IF(AZ40&lt;-AZ44,"REJECT:Statistically Significant Difference",IF(AZ40&gt;AZ44,"REJECT:Statistically Significant Difference","DO NOT REJECT:No Statistically Significant Differences"))</f>
        <v>DO NOT REJECT:No Statistically Significant Differences</v>
      </c>
    </row>
    <row r="46" spans="1:53" ht="17" thickBot="1" x14ac:dyDescent="0.25">
      <c r="O46" s="74" t="str">
        <f>IF(O41&lt;-O45,"REJECT:Statistically Significant Difference",IF(O41&gt;O45,"REJECT:Statistically Significant Difference","DO NOT REJECT:No Statistically Significant Differences"))</f>
        <v>DO NOT REJECT:No Statistically Significant Differences</v>
      </c>
      <c r="X46" s="71" t="s">
        <v>120</v>
      </c>
      <c r="Y46" s="71">
        <v>0.79334787259187634</v>
      </c>
      <c r="Z46" s="71"/>
      <c r="AP46" s="72" t="s">
        <v>121</v>
      </c>
      <c r="AQ46" s="72">
        <v>2.119905299221255</v>
      </c>
      <c r="AR46" s="72"/>
    </row>
    <row r="47" spans="1:53" ht="17" thickBot="1" x14ac:dyDescent="0.25">
      <c r="X47" s="72" t="s">
        <v>121</v>
      </c>
      <c r="Y47" s="72">
        <v>2.119905299221255</v>
      </c>
      <c r="Z47" s="72"/>
      <c r="AC47" t="s">
        <v>108</v>
      </c>
      <c r="AG47" t="s">
        <v>115</v>
      </c>
      <c r="AQ47" s="74" t="str">
        <f>IF(AQ42&lt;-AQ46,"REJECT:Statistically Significant Difference",IF(AQ42&gt;AQ46,"REJECT:Statistically Significant Difference","DO NOT REJECT:No Statistically Significant Differences"))</f>
        <v>DO NOT REJECT:No Statistically Significant Differences</v>
      </c>
    </row>
    <row r="48" spans="1:53" ht="17" thickBot="1" x14ac:dyDescent="0.25">
      <c r="J48" t="s">
        <v>108</v>
      </c>
      <c r="N48" t="s">
        <v>115</v>
      </c>
      <c r="Y48" s="74" t="str">
        <f>IF(Y43&lt;-Y47,"REJECT:Statistically Significant Difference",IF(Y43&gt;Y47,"REJECT:Statistically Significant Difference","DO NOT REJECT:No Statistically Significant Differences"))</f>
        <v>DO NOT REJECT:No Statistically Significant Differences</v>
      </c>
    </row>
    <row r="49" spans="10:35" ht="17" thickBot="1" x14ac:dyDescent="0.25">
      <c r="AC49" s="73"/>
      <c r="AD49" s="73" t="s">
        <v>84</v>
      </c>
      <c r="AE49" s="73" t="s">
        <v>88</v>
      </c>
      <c r="AG49" s="73"/>
      <c r="AH49" s="73" t="s">
        <v>84</v>
      </c>
      <c r="AI49" s="73" t="s">
        <v>88</v>
      </c>
    </row>
    <row r="50" spans="10:35" x14ac:dyDescent="0.2">
      <c r="J50" s="73"/>
      <c r="K50" s="73" t="s">
        <v>76</v>
      </c>
      <c r="L50" s="73" t="s">
        <v>100</v>
      </c>
      <c r="N50" s="73"/>
      <c r="O50" s="73" t="s">
        <v>76</v>
      </c>
      <c r="P50" s="73" t="s">
        <v>100</v>
      </c>
      <c r="T50" t="s">
        <v>108</v>
      </c>
      <c r="X50" t="s">
        <v>122</v>
      </c>
      <c r="AC50" s="71" t="s">
        <v>109</v>
      </c>
      <c r="AD50" s="71">
        <v>3.5999500499501648E+16</v>
      </c>
      <c r="AE50" s="71">
        <v>2.8242381513228376E+16</v>
      </c>
      <c r="AG50" s="71" t="s">
        <v>109</v>
      </c>
      <c r="AH50" s="71">
        <v>3.5999500499501648E+16</v>
      </c>
      <c r="AI50" s="71">
        <v>2.8242381513228376E+16</v>
      </c>
    </row>
    <row r="51" spans="10:35" ht="17" thickBot="1" x14ac:dyDescent="0.25">
      <c r="J51" s="71" t="s">
        <v>109</v>
      </c>
      <c r="K51" s="71">
        <v>2.8957864357862764E+16</v>
      </c>
      <c r="L51" s="71">
        <v>3.0893580246913196E+16</v>
      </c>
      <c r="N51" s="71" t="s">
        <v>109</v>
      </c>
      <c r="O51" s="71">
        <v>2.8957864357862764E+16</v>
      </c>
      <c r="P51" s="71">
        <v>3.0893580246913196E+16</v>
      </c>
      <c r="AC51" s="71" t="s">
        <v>110</v>
      </c>
      <c r="AD51" s="71">
        <v>3.2430323504921198E+32</v>
      </c>
      <c r="AE51" s="71">
        <v>4.2573022713585211E+30</v>
      </c>
      <c r="AG51" s="71" t="s">
        <v>110</v>
      </c>
      <c r="AH51" s="71">
        <v>3.2430323504921198E+32</v>
      </c>
      <c r="AI51" s="71">
        <v>4.2573022713585211E+30</v>
      </c>
    </row>
    <row r="52" spans="10:35" x14ac:dyDescent="0.2">
      <c r="J52" s="71" t="s">
        <v>110</v>
      </c>
      <c r="K52" s="71">
        <v>5.1887530870952583E+31</v>
      </c>
      <c r="L52" s="71">
        <v>1.1438373238819456E+32</v>
      </c>
      <c r="N52" s="71" t="s">
        <v>110</v>
      </c>
      <c r="O52" s="71">
        <v>5.1887530870952583E+31</v>
      </c>
      <c r="P52" s="71">
        <v>1.1438373238819456E+32</v>
      </c>
      <c r="T52" s="73"/>
      <c r="U52" s="73" t="s">
        <v>80</v>
      </c>
      <c r="V52" s="73" t="s">
        <v>92</v>
      </c>
      <c r="X52" s="73"/>
      <c r="Y52" s="73" t="s">
        <v>80</v>
      </c>
      <c r="Z52" s="73" t="s">
        <v>92</v>
      </c>
      <c r="AC52" s="71" t="s">
        <v>111</v>
      </c>
      <c r="AD52" s="71">
        <v>9</v>
      </c>
      <c r="AE52" s="71">
        <v>9</v>
      </c>
      <c r="AG52" s="71" t="s">
        <v>111</v>
      </c>
      <c r="AH52" s="71">
        <v>9</v>
      </c>
      <c r="AI52" s="71">
        <v>9</v>
      </c>
    </row>
    <row r="53" spans="10:35" x14ac:dyDescent="0.2">
      <c r="J53" s="71" t="s">
        <v>111</v>
      </c>
      <c r="K53" s="71">
        <v>9</v>
      </c>
      <c r="L53" s="71">
        <v>9</v>
      </c>
      <c r="N53" s="71" t="s">
        <v>111</v>
      </c>
      <c r="O53" s="71">
        <v>9</v>
      </c>
      <c r="P53" s="71">
        <v>9</v>
      </c>
      <c r="T53" s="71" t="s">
        <v>109</v>
      </c>
      <c r="U53" s="71">
        <v>2.9904779411764132E+16</v>
      </c>
      <c r="V53" s="71">
        <v>2.8451677081791688E+16</v>
      </c>
      <c r="X53" s="71" t="s">
        <v>109</v>
      </c>
      <c r="Y53" s="71">
        <v>2.9904779411764132E+16</v>
      </c>
      <c r="Z53" s="71">
        <v>2.8451677081791688E+16</v>
      </c>
      <c r="AC53" s="71" t="s">
        <v>112</v>
      </c>
      <c r="AD53" s="71">
        <v>8</v>
      </c>
      <c r="AE53" s="71">
        <v>8</v>
      </c>
      <c r="AG53" s="71" t="s">
        <v>116</v>
      </c>
      <c r="AH53" s="71">
        <v>0</v>
      </c>
      <c r="AI53" s="71"/>
    </row>
    <row r="54" spans="10:35" x14ac:dyDescent="0.2">
      <c r="J54" s="71" t="s">
        <v>112</v>
      </c>
      <c r="K54" s="71">
        <v>8</v>
      </c>
      <c r="L54" s="71">
        <v>8</v>
      </c>
      <c r="N54" s="71" t="s">
        <v>116</v>
      </c>
      <c r="O54" s="71">
        <v>0</v>
      </c>
      <c r="P54" s="71"/>
      <c r="T54" s="71" t="s">
        <v>110</v>
      </c>
      <c r="U54" s="71">
        <v>9.6249868139667373E+30</v>
      </c>
      <c r="V54" s="71">
        <v>5.8999718704778095E+31</v>
      </c>
      <c r="X54" s="71" t="s">
        <v>110</v>
      </c>
      <c r="Y54" s="71">
        <v>9.6249868139667373E+30</v>
      </c>
      <c r="Z54" s="71">
        <v>5.8999718704778095E+31</v>
      </c>
      <c r="AC54" s="71" t="s">
        <v>92</v>
      </c>
      <c r="AD54" s="71">
        <v>76.17575976011814</v>
      </c>
      <c r="AE54" s="71"/>
      <c r="AG54" s="71" t="s">
        <v>112</v>
      </c>
      <c r="AH54" s="71">
        <v>8</v>
      </c>
      <c r="AI54" s="71"/>
    </row>
    <row r="55" spans="10:35" x14ac:dyDescent="0.2">
      <c r="J55" s="71" t="s">
        <v>92</v>
      </c>
      <c r="K55" s="71">
        <v>0.45362683825403699</v>
      </c>
      <c r="L55" s="71"/>
      <c r="N55" s="71" t="s">
        <v>112</v>
      </c>
      <c r="O55" s="71">
        <v>14</v>
      </c>
      <c r="P55" s="71"/>
      <c r="T55" s="71" t="s">
        <v>111</v>
      </c>
      <c r="U55" s="71">
        <v>9</v>
      </c>
      <c r="V55" s="71">
        <v>9</v>
      </c>
      <c r="X55" s="71" t="s">
        <v>111</v>
      </c>
      <c r="Y55" s="71">
        <v>9</v>
      </c>
      <c r="Z55" s="71">
        <v>9</v>
      </c>
      <c r="AC55" s="71" t="s">
        <v>113</v>
      </c>
      <c r="AD55" s="71">
        <v>9.5625614743717521E-7</v>
      </c>
      <c r="AE55" s="71"/>
      <c r="AG55" s="71" t="s">
        <v>117</v>
      </c>
      <c r="AH55" s="71">
        <v>1.2838491792923359</v>
      </c>
      <c r="AI55" s="71"/>
    </row>
    <row r="56" spans="10:35" ht="17" thickBot="1" x14ac:dyDescent="0.25">
      <c r="J56" s="71" t="s">
        <v>113</v>
      </c>
      <c r="K56" s="71">
        <v>0.1422158186975937</v>
      </c>
      <c r="L56" s="71"/>
      <c r="N56" s="71" t="s">
        <v>117</v>
      </c>
      <c r="O56" s="71">
        <v>-0.45035425612121355</v>
      </c>
      <c r="P56" s="71"/>
      <c r="T56" s="71" t="s">
        <v>112</v>
      </c>
      <c r="U56" s="71">
        <v>8</v>
      </c>
      <c r="V56" s="71">
        <v>8</v>
      </c>
      <c r="X56" s="71" t="s">
        <v>123</v>
      </c>
      <c r="Y56" s="71">
        <v>3.4312352759372416E+31</v>
      </c>
      <c r="Z56" s="71"/>
      <c r="AC56" s="72" t="s">
        <v>114</v>
      </c>
      <c r="AD56" s="72">
        <v>3.4381012333731586</v>
      </c>
      <c r="AE56" s="72"/>
      <c r="AG56" s="71" t="s">
        <v>118</v>
      </c>
      <c r="AH56" s="71">
        <v>0.11756404239187015</v>
      </c>
      <c r="AI56" s="71"/>
    </row>
    <row r="57" spans="10:35" ht="17" thickBot="1" x14ac:dyDescent="0.25">
      <c r="J57" s="72" t="s">
        <v>114</v>
      </c>
      <c r="K57" s="72">
        <v>0.29085821856934957</v>
      </c>
      <c r="L57" s="72"/>
      <c r="N57" s="71" t="s">
        <v>118</v>
      </c>
      <c r="O57" s="71">
        <v>0.32967518911655502</v>
      </c>
      <c r="P57" s="71"/>
      <c r="T57" s="71" t="s">
        <v>92</v>
      </c>
      <c r="U57" s="71">
        <v>0.16313614751500938</v>
      </c>
      <c r="V57" s="71"/>
      <c r="X57" s="71" t="s">
        <v>116</v>
      </c>
      <c r="Y57" s="71">
        <v>0</v>
      </c>
      <c r="Z57" s="71"/>
      <c r="AD57" t="str">
        <f>IF(AD54&gt;AD56, "REJECT: Unequal variances","DO NOT REJECT: Equal variances")</f>
        <v>REJECT: Unequal variances</v>
      </c>
      <c r="AG57" s="71" t="s">
        <v>119</v>
      </c>
      <c r="AH57" s="71">
        <v>1.8595480375308981</v>
      </c>
      <c r="AI57" s="71"/>
    </row>
    <row r="58" spans="10:35" x14ac:dyDescent="0.2">
      <c r="K58" t="str">
        <f>IF(K55&gt;K57, "REJECT: Unequal variances","DO NOT REJECT: Equal variances")</f>
        <v>REJECT: Unequal variances</v>
      </c>
      <c r="N58" s="71" t="s">
        <v>119</v>
      </c>
      <c r="O58" s="71">
        <v>1.7613101357748921</v>
      </c>
      <c r="P58" s="71"/>
      <c r="T58" s="71" t="s">
        <v>113</v>
      </c>
      <c r="U58" s="71">
        <v>9.4964172148339632E-3</v>
      </c>
      <c r="V58" s="71"/>
      <c r="X58" s="71" t="s">
        <v>112</v>
      </c>
      <c r="Y58" s="71">
        <v>16</v>
      </c>
      <c r="Z58" s="71"/>
      <c r="AG58" s="71" t="s">
        <v>120</v>
      </c>
      <c r="AH58" s="71">
        <v>0.23512808478374031</v>
      </c>
      <c r="AI58" s="71"/>
    </row>
    <row r="59" spans="10:35" ht="17" thickBot="1" x14ac:dyDescent="0.25">
      <c r="N59" s="71" t="s">
        <v>120</v>
      </c>
      <c r="O59" s="71">
        <v>0.65935037823311005</v>
      </c>
      <c r="P59" s="71"/>
      <c r="T59" s="72" t="s">
        <v>114</v>
      </c>
      <c r="U59" s="72">
        <v>0.29085821856934957</v>
      </c>
      <c r="V59" s="72"/>
      <c r="X59" s="71" t="s">
        <v>117</v>
      </c>
      <c r="Y59" s="71">
        <v>0.52623194315618671</v>
      </c>
      <c r="Z59" s="71"/>
      <c r="AG59" s="72" t="s">
        <v>121</v>
      </c>
      <c r="AH59" s="72">
        <v>2.3060041352041671</v>
      </c>
      <c r="AI59" s="72"/>
    </row>
    <row r="60" spans="10:35" ht="17" thickBot="1" x14ac:dyDescent="0.25">
      <c r="N60" s="72" t="s">
        <v>121</v>
      </c>
      <c r="O60" s="72">
        <v>2.1447866879178044</v>
      </c>
      <c r="P60" s="72"/>
      <c r="U60" t="str">
        <f>IF(U57&gt;U59, "REJECT: Unequal variances","DO NOT REJECT: Equal variances")</f>
        <v>DO NOT REJECT: Equal variances</v>
      </c>
      <c r="X60" s="71" t="s">
        <v>118</v>
      </c>
      <c r="Y60" s="71">
        <v>0.30297270917061969</v>
      </c>
      <c r="Z60" s="71"/>
      <c r="AH60" s="74" t="str">
        <f>IF(AH55&lt;-AH59,"REJECT:Statistically Significant Difference",IF(AH55&gt;AH59,"REJECT:Statistically Significant Difference","DO NOT REJECT:No Statistically Significant Differences"))</f>
        <v>DO NOT REJECT:No Statistically Significant Differences</v>
      </c>
    </row>
    <row r="61" spans="10:35" x14ac:dyDescent="0.2">
      <c r="O61" s="74" t="str">
        <f>IF(O56&lt;-O60,"REJECT:Statistically Significant Difference",IF(O56&gt;O60,"REJECT:Statistically Significant Difference","DO NOT REJECT:No Statistically Significant Differences"))</f>
        <v>DO NOT REJECT:No Statistically Significant Differences</v>
      </c>
      <c r="X61" s="71" t="s">
        <v>119</v>
      </c>
      <c r="Y61" s="71">
        <v>1.7458836762762506</v>
      </c>
      <c r="Z61" s="71"/>
    </row>
    <row r="62" spans="10:35" x14ac:dyDescent="0.2">
      <c r="X62" s="71" t="s">
        <v>120</v>
      </c>
      <c r="Y62" s="71">
        <v>0.60594541834123938</v>
      </c>
      <c r="Z62" s="71"/>
    </row>
    <row r="63" spans="10:35" ht="17" thickBot="1" x14ac:dyDescent="0.25">
      <c r="J63" t="s">
        <v>108</v>
      </c>
      <c r="N63" t="s">
        <v>115</v>
      </c>
      <c r="X63" s="72" t="s">
        <v>121</v>
      </c>
      <c r="Y63" s="72">
        <v>2.119905299221255</v>
      </c>
      <c r="Z63" s="72"/>
    </row>
    <row r="64" spans="10:35" ht="17" thickBot="1" x14ac:dyDescent="0.25">
      <c r="Y64" s="74" t="str">
        <f>IF(Y59&lt;-Y63,"REJECT:Statistically Significant Difference",IF(Y59&gt;Y63,"REJECT:Statistically Significant Difference","DO NOT REJECT:No Statistically Significant Differences"))</f>
        <v>DO NOT REJECT:No Statistically Significant Differences</v>
      </c>
    </row>
    <row r="65" spans="10:26" x14ac:dyDescent="0.2">
      <c r="J65" s="73"/>
      <c r="K65" s="73" t="s">
        <v>76</v>
      </c>
      <c r="L65" s="73" t="s">
        <v>92</v>
      </c>
      <c r="N65" s="73"/>
      <c r="O65" s="73" t="s">
        <v>76</v>
      </c>
      <c r="P65" s="73" t="s">
        <v>92</v>
      </c>
    </row>
    <row r="66" spans="10:26" x14ac:dyDescent="0.2">
      <c r="J66" s="71" t="s">
        <v>109</v>
      </c>
      <c r="K66" s="71">
        <v>2.8957864357862764E+16</v>
      </c>
      <c r="L66" s="71">
        <v>2.8451677081791688E+16</v>
      </c>
      <c r="N66" s="71" t="s">
        <v>109</v>
      </c>
      <c r="O66" s="71">
        <v>2.8957864357862764E+16</v>
      </c>
      <c r="P66" s="71">
        <v>2.8451677081791688E+16</v>
      </c>
      <c r="T66" t="s">
        <v>108</v>
      </c>
      <c r="X66" t="s">
        <v>122</v>
      </c>
    </row>
    <row r="67" spans="10:26" ht="17" thickBot="1" x14ac:dyDescent="0.25">
      <c r="J67" s="71" t="s">
        <v>110</v>
      </c>
      <c r="K67" s="71">
        <v>5.1887530870952583E+31</v>
      </c>
      <c r="L67" s="71">
        <v>5.8999718704778095E+31</v>
      </c>
      <c r="N67" s="71" t="s">
        <v>110</v>
      </c>
      <c r="O67" s="71">
        <v>5.1887530870952583E+31</v>
      </c>
      <c r="P67" s="71">
        <v>5.8999718704778095E+31</v>
      </c>
    </row>
    <row r="68" spans="10:26" x14ac:dyDescent="0.2">
      <c r="J68" s="71" t="s">
        <v>111</v>
      </c>
      <c r="K68" s="71">
        <v>9</v>
      </c>
      <c r="L68" s="71">
        <v>9</v>
      </c>
      <c r="N68" s="71" t="s">
        <v>111</v>
      </c>
      <c r="O68" s="71">
        <v>9</v>
      </c>
      <c r="P68" s="71">
        <v>9</v>
      </c>
      <c r="T68" s="73"/>
      <c r="U68" s="73" t="s">
        <v>80</v>
      </c>
      <c r="V68" s="73" t="s">
        <v>88</v>
      </c>
      <c r="X68" s="73"/>
      <c r="Y68" s="73" t="s">
        <v>80</v>
      </c>
      <c r="Z68" s="73" t="s">
        <v>88</v>
      </c>
    </row>
    <row r="69" spans="10:26" x14ac:dyDescent="0.2">
      <c r="J69" s="71" t="s">
        <v>112</v>
      </c>
      <c r="K69" s="71">
        <v>8</v>
      </c>
      <c r="L69" s="71">
        <v>8</v>
      </c>
      <c r="N69" s="71" t="s">
        <v>116</v>
      </c>
      <c r="O69" s="71">
        <v>0</v>
      </c>
      <c r="P69" s="71"/>
      <c r="T69" s="71" t="s">
        <v>109</v>
      </c>
      <c r="U69" s="71">
        <v>2.9904779411764132E+16</v>
      </c>
      <c r="V69" s="71">
        <v>2.8242381513228376E+16</v>
      </c>
      <c r="X69" s="71" t="s">
        <v>109</v>
      </c>
      <c r="Y69" s="71">
        <v>2.9904779411764132E+16</v>
      </c>
      <c r="Z69" s="71">
        <v>2.8242381513228376E+16</v>
      </c>
    </row>
    <row r="70" spans="10:26" x14ac:dyDescent="0.2">
      <c r="J70" s="71" t="s">
        <v>92</v>
      </c>
      <c r="K70" s="71">
        <v>0.87945386876480935</v>
      </c>
      <c r="L70" s="71"/>
      <c r="N70" s="71" t="s">
        <v>112</v>
      </c>
      <c r="O70" s="71">
        <v>16</v>
      </c>
      <c r="P70" s="71"/>
      <c r="T70" s="71" t="s">
        <v>110</v>
      </c>
      <c r="U70" s="71">
        <v>9.6249868139667373E+30</v>
      </c>
      <c r="V70" s="71">
        <v>4.2573022713585211E+30</v>
      </c>
      <c r="X70" s="71" t="s">
        <v>110</v>
      </c>
      <c r="Y70" s="71">
        <v>9.6249868139667373E+30</v>
      </c>
      <c r="Z70" s="71">
        <v>4.2573022713585211E+30</v>
      </c>
    </row>
    <row r="71" spans="10:26" x14ac:dyDescent="0.2">
      <c r="J71" s="71" t="s">
        <v>113</v>
      </c>
      <c r="K71" s="71">
        <v>0.43013594156811186</v>
      </c>
      <c r="L71" s="71"/>
      <c r="N71" s="71" t="s">
        <v>117</v>
      </c>
      <c r="O71" s="71">
        <v>0.14420877017940767</v>
      </c>
      <c r="P71" s="71"/>
      <c r="T71" s="71" t="s">
        <v>111</v>
      </c>
      <c r="U71" s="71">
        <v>9</v>
      </c>
      <c r="V71" s="71">
        <v>9</v>
      </c>
      <c r="X71" s="71" t="s">
        <v>111</v>
      </c>
      <c r="Y71" s="71">
        <v>9</v>
      </c>
      <c r="Z71" s="71">
        <v>9</v>
      </c>
    </row>
    <row r="72" spans="10:26" ht="17" thickBot="1" x14ac:dyDescent="0.25">
      <c r="J72" s="72" t="s">
        <v>114</v>
      </c>
      <c r="K72" s="72">
        <v>0.29085821856934957</v>
      </c>
      <c r="L72" s="72"/>
      <c r="N72" s="71" t="s">
        <v>118</v>
      </c>
      <c r="O72" s="71">
        <v>0.44356819997899782</v>
      </c>
      <c r="P72" s="71"/>
      <c r="T72" s="71" t="s">
        <v>112</v>
      </c>
      <c r="U72" s="71">
        <v>8</v>
      </c>
      <c r="V72" s="71">
        <v>8</v>
      </c>
      <c r="X72" s="71" t="s">
        <v>123</v>
      </c>
      <c r="Y72" s="71">
        <v>6.9411445426626286E+30</v>
      </c>
      <c r="Z72" s="71"/>
    </row>
    <row r="73" spans="10:26" x14ac:dyDescent="0.2">
      <c r="K73" t="str">
        <f>IF(K70&gt;K72, "REJECT: Unequal variances","DO NOT REJECT: Equal variances")</f>
        <v>REJECT: Unequal variances</v>
      </c>
      <c r="N73" s="71" t="s">
        <v>119</v>
      </c>
      <c r="O73" s="71">
        <v>1.7458836762762506</v>
      </c>
      <c r="P73" s="71"/>
      <c r="T73" s="71" t="s">
        <v>92</v>
      </c>
      <c r="U73" s="71">
        <v>2.2608182836158748</v>
      </c>
      <c r="V73" s="71"/>
      <c r="X73" s="71" t="s">
        <v>116</v>
      </c>
      <c r="Y73" s="71">
        <v>0</v>
      </c>
      <c r="Z73" s="71"/>
    </row>
    <row r="74" spans="10:26" x14ac:dyDescent="0.2">
      <c r="N74" s="71" t="s">
        <v>120</v>
      </c>
      <c r="O74" s="71">
        <v>0.88713639995799565</v>
      </c>
      <c r="P74" s="71"/>
      <c r="T74" s="71" t="s">
        <v>113</v>
      </c>
      <c r="U74" s="71">
        <v>0.13485026433000719</v>
      </c>
      <c r="V74" s="71"/>
      <c r="X74" s="71" t="s">
        <v>112</v>
      </c>
      <c r="Y74" s="71">
        <v>16</v>
      </c>
      <c r="Z74" s="71"/>
    </row>
    <row r="75" spans="10:26" ht="17" thickBot="1" x14ac:dyDescent="0.25">
      <c r="N75" s="72" t="s">
        <v>121</v>
      </c>
      <c r="O75" s="72">
        <v>2.119905299221255</v>
      </c>
      <c r="P75" s="72"/>
      <c r="T75" s="72" t="s">
        <v>114</v>
      </c>
      <c r="U75" s="72">
        <v>3.4381012333731586</v>
      </c>
      <c r="V75" s="72"/>
      <c r="X75" s="71" t="s">
        <v>117</v>
      </c>
      <c r="Y75" s="71">
        <v>1.3385225557229925</v>
      </c>
      <c r="Z75" s="71"/>
    </row>
    <row r="76" spans="10:26" x14ac:dyDescent="0.2">
      <c r="O76" s="74" t="str">
        <f>IF(O71&lt;-O75,"REJECT:Statistically Significant Difference",IF(O71&gt;O75,"REJECT:Statistically Significant Difference","DO NOT REJECT:No Statistically Significant Differences"))</f>
        <v>DO NOT REJECT:No Statistically Significant Differences</v>
      </c>
      <c r="U76" t="str">
        <f>IF(U73&gt;U75, "REJECT: Unequal variances","DO NOT REJECT: Equal variances")</f>
        <v>DO NOT REJECT: Equal variances</v>
      </c>
      <c r="X76" s="71" t="s">
        <v>118</v>
      </c>
      <c r="Y76" s="71">
        <v>9.9718393583713844E-2</v>
      </c>
      <c r="Z76" s="71"/>
    </row>
    <row r="77" spans="10:26" x14ac:dyDescent="0.2">
      <c r="X77" s="71" t="s">
        <v>119</v>
      </c>
      <c r="Y77" s="71">
        <v>1.7458836762762506</v>
      </c>
      <c r="Z77" s="71"/>
    </row>
    <row r="78" spans="10:26" x14ac:dyDescent="0.2">
      <c r="J78" t="s">
        <v>108</v>
      </c>
      <c r="N78" t="s">
        <v>115</v>
      </c>
      <c r="X78" s="71" t="s">
        <v>120</v>
      </c>
      <c r="Y78" s="71">
        <v>0.19943678716742769</v>
      </c>
      <c r="Z78" s="71"/>
    </row>
    <row r="79" spans="10:26" ht="17" thickBot="1" x14ac:dyDescent="0.25">
      <c r="X79" s="72" t="s">
        <v>121</v>
      </c>
      <c r="Y79" s="72">
        <v>2.119905299221255</v>
      </c>
      <c r="Z79" s="72"/>
    </row>
    <row r="80" spans="10:26" x14ac:dyDescent="0.2">
      <c r="J80" s="73"/>
      <c r="K80" s="73" t="s">
        <v>76</v>
      </c>
      <c r="L80" s="73" t="s">
        <v>88</v>
      </c>
      <c r="N80" s="73"/>
      <c r="O80" s="73" t="s">
        <v>76</v>
      </c>
      <c r="P80" s="73" t="s">
        <v>88</v>
      </c>
      <c r="Y80" s="74" t="str">
        <f>IF(Y75&lt;-Y79,"REJECT:Statistically Significant Difference",IF(Y75&gt;Y79,"REJECT:Statistically Significant Difference","DO NOT REJECT:No Statistically Significant Differences"))</f>
        <v>DO NOT REJECT:No Statistically Significant Differences</v>
      </c>
    </row>
    <row r="81" spans="10:16" x14ac:dyDescent="0.2">
      <c r="J81" s="71" t="s">
        <v>109</v>
      </c>
      <c r="K81" s="71">
        <v>2.8957864357862764E+16</v>
      </c>
      <c r="L81" s="71">
        <v>2.8242381513228376E+16</v>
      </c>
      <c r="N81" s="71" t="s">
        <v>109</v>
      </c>
      <c r="O81" s="71">
        <v>2.8957864357862764E+16</v>
      </c>
      <c r="P81" s="71">
        <v>2.8242381513228376E+16</v>
      </c>
    </row>
    <row r="82" spans="10:16" x14ac:dyDescent="0.2">
      <c r="J82" s="71" t="s">
        <v>110</v>
      </c>
      <c r="K82" s="71">
        <v>5.1887530870952583E+31</v>
      </c>
      <c r="L82" s="71">
        <v>4.2573022713585211E+30</v>
      </c>
      <c r="N82" s="71" t="s">
        <v>110</v>
      </c>
      <c r="O82" s="71">
        <v>5.1887530870952583E+31</v>
      </c>
      <c r="P82" s="71">
        <v>4.2573022713585211E+30</v>
      </c>
    </row>
    <row r="83" spans="10:16" x14ac:dyDescent="0.2">
      <c r="J83" s="71" t="s">
        <v>111</v>
      </c>
      <c r="K83" s="71">
        <v>9</v>
      </c>
      <c r="L83" s="71">
        <v>9</v>
      </c>
      <c r="N83" s="71" t="s">
        <v>111</v>
      </c>
      <c r="O83" s="71">
        <v>9</v>
      </c>
      <c r="P83" s="71">
        <v>9</v>
      </c>
    </row>
    <row r="84" spans="10:16" x14ac:dyDescent="0.2">
      <c r="J84" s="71" t="s">
        <v>112</v>
      </c>
      <c r="K84" s="71">
        <v>8</v>
      </c>
      <c r="L84" s="71">
        <v>8</v>
      </c>
      <c r="N84" s="71" t="s">
        <v>116</v>
      </c>
      <c r="O84" s="71">
        <v>0</v>
      </c>
      <c r="P84" s="71"/>
    </row>
    <row r="85" spans="10:16" x14ac:dyDescent="0.2">
      <c r="J85" s="71" t="s">
        <v>92</v>
      </c>
      <c r="K85" s="71">
        <v>12.187889786457442</v>
      </c>
      <c r="L85" s="71"/>
      <c r="N85" s="71" t="s">
        <v>112</v>
      </c>
      <c r="O85" s="71">
        <v>9</v>
      </c>
      <c r="P85" s="71"/>
    </row>
    <row r="86" spans="10:16" x14ac:dyDescent="0.2">
      <c r="J86" s="71" t="s">
        <v>113</v>
      </c>
      <c r="K86" s="71">
        <v>9.5953377507304041E-4</v>
      </c>
      <c r="L86" s="71"/>
      <c r="N86" s="71" t="s">
        <v>117</v>
      </c>
      <c r="O86" s="71">
        <v>0.28646105165882763</v>
      </c>
      <c r="P86" s="71"/>
    </row>
    <row r="87" spans="10:16" ht="17" thickBot="1" x14ac:dyDescent="0.25">
      <c r="J87" s="72" t="s">
        <v>114</v>
      </c>
      <c r="K87" s="72">
        <v>3.4381012333731586</v>
      </c>
      <c r="L87" s="72"/>
      <c r="N87" s="71" t="s">
        <v>118</v>
      </c>
      <c r="O87" s="71">
        <v>0.3905049762973794</v>
      </c>
      <c r="P87" s="71"/>
    </row>
    <row r="88" spans="10:16" x14ac:dyDescent="0.2">
      <c r="K88" t="str">
        <f>IF(K85&gt;K87, "REJECT: Unequal variances","DO NOT REJECT: Equal variances")</f>
        <v>REJECT: Unequal variances</v>
      </c>
      <c r="N88" s="71" t="s">
        <v>119</v>
      </c>
      <c r="O88" s="71">
        <v>1.8331129326562374</v>
      </c>
      <c r="P88" s="71"/>
    </row>
    <row r="89" spans="10:16" x14ac:dyDescent="0.2">
      <c r="N89" s="71" t="s">
        <v>120</v>
      </c>
      <c r="O89" s="71">
        <v>0.78100995259475881</v>
      </c>
      <c r="P89" s="71"/>
    </row>
    <row r="90" spans="10:16" ht="17" thickBot="1" x14ac:dyDescent="0.25">
      <c r="N90" s="72" t="s">
        <v>121</v>
      </c>
      <c r="O90" s="72">
        <v>2.2621571627982053</v>
      </c>
      <c r="P90" s="72"/>
    </row>
    <row r="91" spans="10:16" x14ac:dyDescent="0.2">
      <c r="O91" s="74" t="str">
        <f>IF(O86&lt;-O90,"REJECT:Statistically Significant Difference",IF(O86&gt;O90,"REJECT:Statistically Significant Difference","DO NOT REJECT:No Statistically Significant Differences"))</f>
        <v>DO NOT REJECT:No Statistically Significant Differences</v>
      </c>
    </row>
  </sheetData>
  <sortState xmlns:xlrd2="http://schemas.microsoft.com/office/spreadsheetml/2017/richdata2" ref="A2:D22">
    <sortCondition ref="A2:A22"/>
  </sortState>
  <conditionalFormatting sqref="O15">
    <cfRule type="containsText" dxfId="20" priority="21" operator="containsText" text="REJECT:Statistically Significant Difference">
      <formula>NOT(ISERROR(SEARCH("REJECT:Statistically Significant Difference",O15)))</formula>
    </cfRule>
  </conditionalFormatting>
  <conditionalFormatting sqref="O31">
    <cfRule type="containsText" dxfId="19" priority="20" operator="containsText" text="REJECT:Statistically Significant Difference">
      <formula>NOT(ISERROR(SEARCH("REJECT:Statistically Significant Difference",O31)))</formula>
    </cfRule>
  </conditionalFormatting>
  <conditionalFormatting sqref="O46">
    <cfRule type="containsText" dxfId="18" priority="19" operator="containsText" text="REJECT:Statistically Significant Difference">
      <formula>NOT(ISERROR(SEARCH("REJECT:Statistically Significant Difference",O46)))</formula>
    </cfRule>
  </conditionalFormatting>
  <conditionalFormatting sqref="O61">
    <cfRule type="containsText" dxfId="17" priority="18" operator="containsText" text="REJECT:Statistically Significant Difference">
      <formula>NOT(ISERROR(SEARCH("REJECT:Statistically Significant Difference",O61)))</formula>
    </cfRule>
  </conditionalFormatting>
  <conditionalFormatting sqref="O76">
    <cfRule type="containsText" dxfId="16" priority="17" operator="containsText" text="REJECT:Statistically Significant Difference">
      <formula>NOT(ISERROR(SEARCH("REJECT:Statistically Significant Difference",O76)))</formula>
    </cfRule>
  </conditionalFormatting>
  <conditionalFormatting sqref="O91">
    <cfRule type="containsText" dxfId="15" priority="16" operator="containsText" text="REJECT:Statistically Significant Difference">
      <formula>NOT(ISERROR(SEARCH("REJECT:Statistically Significant Difference",O91)))</formula>
    </cfRule>
  </conditionalFormatting>
  <conditionalFormatting sqref="Y16">
    <cfRule type="containsText" dxfId="14" priority="15" operator="containsText" text="REJECT:Statistically Significant Difference">
      <formula>NOT(ISERROR(SEARCH("REJECT:Statistically Significant Difference",Y16)))</formula>
    </cfRule>
  </conditionalFormatting>
  <conditionalFormatting sqref="Y32">
    <cfRule type="containsText" dxfId="13" priority="14" operator="containsText" text="REJECT:Statistically Significant Difference">
      <formula>NOT(ISERROR(SEARCH("REJECT:Statistically Significant Difference",Y32)))</formula>
    </cfRule>
  </conditionalFormatting>
  <conditionalFormatting sqref="Y48">
    <cfRule type="containsText" dxfId="12" priority="13" operator="containsText" text="REJECT:Statistically Significant Difference">
      <formula>NOT(ISERROR(SEARCH("REJECT:Statistically Significant Difference",Y48)))</formula>
    </cfRule>
  </conditionalFormatting>
  <conditionalFormatting sqref="Y64">
    <cfRule type="containsText" dxfId="11" priority="12" operator="containsText" text="REJECT:Statistically Significant Difference">
      <formula>NOT(ISERROR(SEARCH("REJECT:Statistically Significant Difference",Y64)))</formula>
    </cfRule>
  </conditionalFormatting>
  <conditionalFormatting sqref="Y80">
    <cfRule type="containsText" dxfId="10" priority="11" operator="containsText" text="REJECT:Statistically Significant Difference">
      <formula>NOT(ISERROR(SEARCH("REJECT:Statistically Significant Difference",Y80)))</formula>
    </cfRule>
  </conditionalFormatting>
  <conditionalFormatting sqref="AH14">
    <cfRule type="containsText" dxfId="9" priority="10" operator="containsText" text="REJECT:Statistically Significant Difference">
      <formula>NOT(ISERROR(SEARCH("REJECT:Statistically Significant Difference",AH14)))</formula>
    </cfRule>
  </conditionalFormatting>
  <conditionalFormatting sqref="AH30">
    <cfRule type="containsText" dxfId="8" priority="9" operator="containsText" text="REJECT:Statistically Significant Difference">
      <formula>NOT(ISERROR(SEARCH("REJECT:Statistically Significant Difference",AH30)))</formula>
    </cfRule>
  </conditionalFormatting>
  <conditionalFormatting sqref="AH45">
    <cfRule type="containsText" dxfId="7" priority="8" operator="containsText" text="REJECT:Statistically Significant Difference">
      <formula>NOT(ISERROR(SEARCH("REJECT:Statistically Significant Difference",AH45)))</formula>
    </cfRule>
  </conditionalFormatting>
  <conditionalFormatting sqref="AH60">
    <cfRule type="containsText" dxfId="6" priority="7" operator="containsText" text="REJECT:Statistically Significant Difference">
      <formula>NOT(ISERROR(SEARCH("REJECT:Statistically Significant Difference",AH60)))</formula>
    </cfRule>
  </conditionalFormatting>
  <conditionalFormatting sqref="AQ15">
    <cfRule type="containsText" dxfId="5" priority="6" operator="containsText" text="REJECT:Statistically Significant Difference">
      <formula>NOT(ISERROR(SEARCH("REJECT:Statistically Significant Difference",AQ15)))</formula>
    </cfRule>
  </conditionalFormatting>
  <conditionalFormatting sqref="AQ31">
    <cfRule type="containsText" dxfId="4" priority="5" operator="containsText" text="REJECT:Statistically Significant Difference">
      <formula>NOT(ISERROR(SEARCH("REJECT:Statistically Significant Difference",AQ31)))</formula>
    </cfRule>
  </conditionalFormatting>
  <conditionalFormatting sqref="AQ47">
    <cfRule type="containsText" dxfId="3" priority="4" operator="containsText" text="REJECT:Statistically Significant Difference">
      <formula>NOT(ISERROR(SEARCH("REJECT:Statistically Significant Difference",AQ47)))</formula>
    </cfRule>
  </conditionalFormatting>
  <conditionalFormatting sqref="AZ15">
    <cfRule type="containsText" dxfId="2" priority="3" operator="containsText" text="REJECT:Statistically Significant Difference">
      <formula>NOT(ISERROR(SEARCH("REJECT:Statistically Significant Difference",AZ15)))</formula>
    </cfRule>
  </conditionalFormatting>
  <conditionalFormatting sqref="AZ30">
    <cfRule type="containsText" dxfId="1" priority="2" operator="containsText" text="REJECT:Statistically Significant Difference">
      <formula>NOT(ISERROR(SEARCH("REJECT:Statistically Significant Difference",AZ30)))</formula>
    </cfRule>
  </conditionalFormatting>
  <conditionalFormatting sqref="AZ45">
    <cfRule type="containsText" dxfId="0" priority="1" operator="containsText" text="REJECT:Statistically Significant Difference">
      <formula>NOT(ISERROR(SEARCH("REJECT:Statistically Significant Difference",AZ45)))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408C6-511E-614E-A6B0-83EA27263C73}">
  <dimension ref="A1:K22"/>
  <sheetViews>
    <sheetView workbookViewId="0">
      <selection activeCell="N36" sqref="N36"/>
    </sheetView>
  </sheetViews>
  <sheetFormatPr baseColWidth="10" defaultRowHeight="16" x14ac:dyDescent="0.2"/>
  <cols>
    <col min="1" max="1" width="20.33203125" style="45" bestFit="1" customWidth="1"/>
    <col min="2" max="2" width="5.83203125" style="45" bestFit="1" customWidth="1"/>
    <col min="3" max="6" width="10.83203125" style="45"/>
    <col min="7" max="7" width="13.1640625" style="45" bestFit="1" customWidth="1"/>
    <col min="8" max="8" width="14.1640625" style="45" bestFit="1" customWidth="1"/>
    <col min="9" max="9" width="20" style="45" bestFit="1" customWidth="1"/>
    <col min="10" max="11" width="10.1640625" style="45" bestFit="1" customWidth="1"/>
    <col min="12" max="16384" width="10.83203125" style="45"/>
  </cols>
  <sheetData>
    <row r="1" spans="1:11" x14ac:dyDescent="0.2">
      <c r="A1" s="99" t="s">
        <v>104</v>
      </c>
      <c r="B1" s="99" t="s">
        <v>154</v>
      </c>
      <c r="C1" s="99" t="s">
        <v>105</v>
      </c>
      <c r="D1" s="100" t="str">
        <f>'Soot Data'!W1</f>
        <v>Q Value</v>
      </c>
      <c r="E1" s="100" t="str">
        <f>'Soot Data'!X1</f>
        <v>Freq (GHz)</v>
      </c>
      <c r="F1" s="101" t="s">
        <v>11</v>
      </c>
      <c r="G1" s="102" t="s">
        <v>13</v>
      </c>
      <c r="H1" s="102" t="s">
        <v>12</v>
      </c>
      <c r="I1" s="104" t="s">
        <v>48</v>
      </c>
      <c r="J1" s="103" t="s">
        <v>158</v>
      </c>
      <c r="K1" s="103" t="s">
        <v>5</v>
      </c>
    </row>
    <row r="2" spans="1:11" x14ac:dyDescent="0.2">
      <c r="A2" s="92" t="s">
        <v>77</v>
      </c>
      <c r="B2" s="92" t="s">
        <v>155</v>
      </c>
      <c r="C2" s="92" t="s">
        <v>76</v>
      </c>
      <c r="D2" s="97">
        <f>'Soot Data'!W14</f>
        <v>4105</v>
      </c>
      <c r="E2" s="93">
        <f>'Soot Data'!X14</f>
        <v>9.6592599999999997</v>
      </c>
      <c r="F2" s="94">
        <v>2.0057</v>
      </c>
      <c r="G2" s="94">
        <v>8.1699999999999995E-2</v>
      </c>
      <c r="H2" s="94">
        <v>0.50660000000000005</v>
      </c>
      <c r="I2" s="96">
        <v>5.2380952380958509E-2</v>
      </c>
      <c r="J2" s="95">
        <v>3.2354545454541672E+16</v>
      </c>
      <c r="K2" s="117">
        <v>125830573921175.56</v>
      </c>
    </row>
    <row r="3" spans="1:11" x14ac:dyDescent="0.2">
      <c r="A3" s="92" t="s">
        <v>78</v>
      </c>
      <c r="B3" s="92" t="s">
        <v>155</v>
      </c>
      <c r="C3" s="92" t="s">
        <v>76</v>
      </c>
      <c r="D3" s="97">
        <f>'Soot Data'!W15</f>
        <v>4104</v>
      </c>
      <c r="E3" s="93">
        <f>'Soot Data'!X15</f>
        <v>9.6579960000000007</v>
      </c>
      <c r="F3" s="94">
        <v>2.0055000000000001</v>
      </c>
      <c r="G3" s="94">
        <v>6.6799999999999998E-2</v>
      </c>
      <c r="H3" s="94">
        <v>0.50460000000000005</v>
      </c>
      <c r="I3" s="96">
        <v>5.5555555555558689E-2</v>
      </c>
      <c r="J3" s="95">
        <v>3.5033333333331356E+16</v>
      </c>
      <c r="K3" s="117">
        <v>347518676863905.12</v>
      </c>
    </row>
    <row r="4" spans="1:11" x14ac:dyDescent="0.2">
      <c r="A4" s="92" t="s">
        <v>79</v>
      </c>
      <c r="B4" s="98" t="s">
        <v>155</v>
      </c>
      <c r="C4" s="92" t="s">
        <v>76</v>
      </c>
      <c r="D4" s="97">
        <f>'Soot Data'!W16</f>
        <v>4105</v>
      </c>
      <c r="E4" s="93">
        <f>'Soot Data'!X16</f>
        <v>9.6590570000000007</v>
      </c>
      <c r="F4" s="94">
        <v>2.0055999999999998</v>
      </c>
      <c r="G4" s="94">
        <v>9.9000000000000008E-3</v>
      </c>
      <c r="H4" s="94">
        <v>0.52439999999999998</v>
      </c>
      <c r="I4" s="96">
        <v>0.10370370370369845</v>
      </c>
      <c r="J4" s="95">
        <v>1.9485714285715276E+16</v>
      </c>
      <c r="K4" s="117">
        <v>1584185234479451</v>
      </c>
    </row>
    <row r="5" spans="1:11" x14ac:dyDescent="0.2">
      <c r="A5" s="111" t="s">
        <v>81</v>
      </c>
      <c r="B5" s="111" t="s">
        <v>156</v>
      </c>
      <c r="C5" s="111" t="s">
        <v>80</v>
      </c>
      <c r="D5" s="112">
        <f>'Soot Data'!W17</f>
        <v>4105</v>
      </c>
      <c r="E5" s="113">
        <f>'Soot Data'!X17</f>
        <v>9.6590319999999998</v>
      </c>
      <c r="F5" s="114">
        <v>2.0055000000000001</v>
      </c>
      <c r="G5" s="114">
        <v>5.2299999999999999E-2</v>
      </c>
      <c r="H5" s="114">
        <v>0.5232</v>
      </c>
      <c r="I5" s="116">
        <v>7.6190476190475726E-2</v>
      </c>
      <c r="J5" s="115">
        <v>2.9337500000000176E+16</v>
      </c>
      <c r="K5" s="118">
        <v>200000000000022</v>
      </c>
    </row>
    <row r="6" spans="1:11" x14ac:dyDescent="0.2">
      <c r="A6" s="111" t="s">
        <v>82</v>
      </c>
      <c r="B6" s="111" t="s">
        <v>156</v>
      </c>
      <c r="C6" s="111" t="s">
        <v>80</v>
      </c>
      <c r="D6" s="112">
        <f>'Soot Data'!W18</f>
        <v>3518</v>
      </c>
      <c r="E6" s="113">
        <f>'Soot Data'!X18</f>
        <v>9.6575849999999992</v>
      </c>
      <c r="F6" s="114">
        <v>2.0055999999999998</v>
      </c>
      <c r="G6" s="114">
        <v>9.0700000000000003E-2</v>
      </c>
      <c r="H6" s="114">
        <v>0.49080000000000001</v>
      </c>
      <c r="I6" s="116">
        <v>8.5714285714288171E-2</v>
      </c>
      <c r="J6" s="115">
        <v>3.1577777777776876E+16</v>
      </c>
      <c r="K6" s="118">
        <v>264575131106414.75</v>
      </c>
    </row>
    <row r="7" spans="1:11" x14ac:dyDescent="0.2">
      <c r="A7" s="111" t="s">
        <v>83</v>
      </c>
      <c r="B7" s="111" t="s">
        <v>156</v>
      </c>
      <c r="C7" s="111" t="s">
        <v>80</v>
      </c>
      <c r="D7" s="112">
        <f>'Soot Data'!W19</f>
        <v>4105</v>
      </c>
      <c r="E7" s="113">
        <f>'Soot Data'!X19</f>
        <v>9.6591389999999997</v>
      </c>
      <c r="F7" s="114">
        <v>2.0055999999999998</v>
      </c>
      <c r="G7" s="114">
        <v>2.9899999999999999E-2</v>
      </c>
      <c r="H7" s="114">
        <v>0.52159999999999995</v>
      </c>
      <c r="I7" s="116">
        <v>8.0952380952383926E-2</v>
      </c>
      <c r="J7" s="115">
        <v>2.8470588235293072E+16</v>
      </c>
      <c r="K7" s="118">
        <v>4158124577257662</v>
      </c>
    </row>
    <row r="8" spans="1:11" x14ac:dyDescent="0.2">
      <c r="A8" s="111" t="s">
        <v>85</v>
      </c>
      <c r="B8" s="111" t="s">
        <v>156</v>
      </c>
      <c r="C8" s="111" t="s">
        <v>84</v>
      </c>
      <c r="D8" s="112">
        <f>'Soot Data'!W20</f>
        <v>4104</v>
      </c>
      <c r="E8" s="113">
        <f>'Soot Data'!X20</f>
        <v>9.6585289999999997</v>
      </c>
      <c r="F8" s="114">
        <v>2.0057</v>
      </c>
      <c r="G8" s="114">
        <v>8.1799999999999998E-2</v>
      </c>
      <c r="H8" s="114">
        <v>0.48770000000000002</v>
      </c>
      <c r="I8" s="116">
        <v>0.10833333333333181</v>
      </c>
      <c r="J8" s="115">
        <v>2.570000000000036E+16</v>
      </c>
      <c r="K8" s="118">
        <v>288675134594804.62</v>
      </c>
    </row>
    <row r="9" spans="1:11" x14ac:dyDescent="0.2">
      <c r="A9" s="111" t="s">
        <v>86</v>
      </c>
      <c r="B9" s="111" t="s">
        <v>156</v>
      </c>
      <c r="C9" s="111" t="s">
        <v>84</v>
      </c>
      <c r="D9" s="112">
        <f>'Soot Data'!W21</f>
        <v>4104</v>
      </c>
      <c r="E9" s="113">
        <f>'Soot Data'!X21</f>
        <v>9.6571739999999995</v>
      </c>
      <c r="F9" s="114">
        <v>2.0057</v>
      </c>
      <c r="G9" s="114">
        <v>8.0799999999999997E-2</v>
      </c>
      <c r="H9" s="114">
        <v>0.48670000000000002</v>
      </c>
      <c r="I9" s="116">
        <v>9.9999999999999076E-2</v>
      </c>
      <c r="J9" s="115">
        <v>3.109393939393968E+16</v>
      </c>
      <c r="K9" s="118">
        <v>1.5159485479397068E+16</v>
      </c>
    </row>
    <row r="10" spans="1:11" x14ac:dyDescent="0.2">
      <c r="A10" s="111" t="s">
        <v>87</v>
      </c>
      <c r="B10" s="111" t="s">
        <v>156</v>
      </c>
      <c r="C10" s="111" t="s">
        <v>84</v>
      </c>
      <c r="D10" s="112">
        <f>'Soot Data'!W22</f>
        <v>3518</v>
      </c>
      <c r="E10" s="113">
        <f>'Soot Data'!X22</f>
        <v>9.6589259999999992</v>
      </c>
      <c r="F10" s="114">
        <v>2.0055999999999998</v>
      </c>
      <c r="G10" s="114">
        <v>5.4800000000000001E-2</v>
      </c>
      <c r="H10" s="114">
        <v>0.5242</v>
      </c>
      <c r="I10" s="116">
        <v>6.6666666666663293E-2</v>
      </c>
      <c r="J10" s="115">
        <v>4.357857142857364E+16</v>
      </c>
      <c r="K10" s="118">
        <v>1719738352191934.5</v>
      </c>
    </row>
    <row r="11" spans="1:11" x14ac:dyDescent="0.2">
      <c r="A11" s="105" t="s">
        <v>97</v>
      </c>
      <c r="B11" s="105" t="s">
        <v>157</v>
      </c>
      <c r="C11" s="105" t="s">
        <v>92</v>
      </c>
      <c r="D11" s="106">
        <f>'Soot Data'!W29</f>
        <v>4105</v>
      </c>
      <c r="E11" s="107">
        <f>'Soot Data'!X29</f>
        <v>9.6603680000000001</v>
      </c>
      <c r="F11" s="108">
        <v>2.0055999999999998</v>
      </c>
      <c r="G11" s="108">
        <v>0.2084</v>
      </c>
      <c r="H11" s="108">
        <v>0.40889999999999999</v>
      </c>
      <c r="I11" s="110">
        <v>0.16111111111110263</v>
      </c>
      <c r="J11" s="109">
        <v>3.1275862068967164E+16</v>
      </c>
      <c r="K11" s="119">
        <v>781024967590751.5</v>
      </c>
    </row>
    <row r="12" spans="1:11" x14ac:dyDescent="0.2">
      <c r="A12" s="105" t="s">
        <v>98</v>
      </c>
      <c r="B12" s="105" t="s">
        <v>157</v>
      </c>
      <c r="C12" s="105" t="s">
        <v>92</v>
      </c>
      <c r="D12" s="106">
        <f>'Soot Data'!W30</f>
        <v>4105</v>
      </c>
      <c r="E12" s="107">
        <f>'Soot Data'!X30</f>
        <v>9.6600579999999994</v>
      </c>
      <c r="F12" s="108">
        <v>2.0055000000000001</v>
      </c>
      <c r="G12" s="108">
        <v>0.21229999999999999</v>
      </c>
      <c r="H12" s="108">
        <v>0.40589999999999998</v>
      </c>
      <c r="I12" s="110">
        <v>0.18000000000000238</v>
      </c>
      <c r="J12" s="109">
        <v>2.86814814814811E+16</v>
      </c>
      <c r="K12" s="119">
        <v>208166599946607.31</v>
      </c>
    </row>
    <row r="13" spans="1:11" x14ac:dyDescent="0.2">
      <c r="A13" s="105" t="s">
        <v>99</v>
      </c>
      <c r="B13" s="105" t="s">
        <v>157</v>
      </c>
      <c r="C13" s="105" t="s">
        <v>92</v>
      </c>
      <c r="D13" s="106">
        <f>'Soot Data'!W31</f>
        <v>3519</v>
      </c>
      <c r="E13" s="107">
        <f>'Soot Data'!X31</f>
        <v>9.6601359999999996</v>
      </c>
      <c r="F13" s="108">
        <v>2.0055999999999998</v>
      </c>
      <c r="G13" s="108">
        <v>0.21</v>
      </c>
      <c r="H13" s="108">
        <v>0.40389999999999998</v>
      </c>
      <c r="I13" s="110">
        <v>0.1777777777777767</v>
      </c>
      <c r="J13" s="109">
        <v>2.8159375000000172E+16</v>
      </c>
      <c r="K13" s="119">
        <v>1126942766958275.8</v>
      </c>
    </row>
    <row r="14" spans="1:11" x14ac:dyDescent="0.2">
      <c r="A14" s="105" t="s">
        <v>101</v>
      </c>
      <c r="B14" s="105" t="s">
        <v>157</v>
      </c>
      <c r="C14" s="105" t="s">
        <v>88</v>
      </c>
      <c r="D14" s="106">
        <f>'Soot Data'!W32</f>
        <v>4105</v>
      </c>
      <c r="E14" s="107">
        <f>'Soot Data'!X32</f>
        <v>9.6592909999999996</v>
      </c>
      <c r="F14" s="108">
        <v>2.0055999999999998</v>
      </c>
      <c r="G14" s="108">
        <v>0.2152</v>
      </c>
      <c r="H14" s="108">
        <v>0.39340000000000003</v>
      </c>
      <c r="I14" s="110">
        <v>0.20000000000000573</v>
      </c>
      <c r="J14" s="109">
        <v>2.4227777777777084E+16</v>
      </c>
      <c r="K14" s="119">
        <v>199999999999966.53</v>
      </c>
    </row>
    <row r="15" spans="1:11" x14ac:dyDescent="0.2">
      <c r="A15" s="105" t="s">
        <v>102</v>
      </c>
      <c r="B15" s="105" t="s">
        <v>157</v>
      </c>
      <c r="C15" s="105" t="s">
        <v>88</v>
      </c>
      <c r="D15" s="106">
        <f>'Soot Data'!W33</f>
        <v>4105</v>
      </c>
      <c r="E15" s="107">
        <f>'Soot Data'!X33</f>
        <v>9.6599579999999996</v>
      </c>
      <c r="F15" s="108">
        <v>2.0055999999999998</v>
      </c>
      <c r="G15" s="108">
        <v>0.21010000000000001</v>
      </c>
      <c r="H15" s="108">
        <v>0.40620000000000001</v>
      </c>
      <c r="I15" s="110">
        <v>0.16666666666666496</v>
      </c>
      <c r="J15" s="109">
        <v>3.3728000000000348E+16</v>
      </c>
      <c r="K15" s="119">
        <v>1153256259467206.5</v>
      </c>
    </row>
    <row r="16" spans="1:11" x14ac:dyDescent="0.2">
      <c r="A16" s="105" t="s">
        <v>103</v>
      </c>
      <c r="B16" s="105" t="s">
        <v>157</v>
      </c>
      <c r="C16" s="105" t="s">
        <v>88</v>
      </c>
      <c r="D16" s="106">
        <f>'Soot Data'!W34</f>
        <v>4105</v>
      </c>
      <c r="E16" s="107">
        <f>'Soot Data'!X34</f>
        <v>9.6598659999999992</v>
      </c>
      <c r="F16" s="108">
        <v>2.0055999999999998</v>
      </c>
      <c r="G16" s="108">
        <v>0.20780000000000001</v>
      </c>
      <c r="H16" s="108">
        <v>0.4073</v>
      </c>
      <c r="I16" s="110">
        <v>0.18000000000000238</v>
      </c>
      <c r="J16" s="109">
        <v>3.03037037037033E+16</v>
      </c>
      <c r="K16" s="119">
        <v>1646207763315157.2</v>
      </c>
    </row>
    <row r="17" spans="1:11" x14ac:dyDescent="0.2">
      <c r="A17" s="105" t="s">
        <v>93</v>
      </c>
      <c r="B17" s="105" t="s">
        <v>157</v>
      </c>
      <c r="C17" s="105" t="s">
        <v>96</v>
      </c>
      <c r="D17" s="106">
        <f>'Soot Data'!W26</f>
        <v>4105</v>
      </c>
      <c r="E17" s="107">
        <f>'Soot Data'!X26</f>
        <v>9.6593820000000008</v>
      </c>
      <c r="F17" s="108">
        <v>2.0055000000000001</v>
      </c>
      <c r="G17" s="108">
        <v>0.23930000000000001</v>
      </c>
      <c r="H17" s="108">
        <v>0.37540000000000001</v>
      </c>
      <c r="I17" s="110">
        <v>0.21999999999999797</v>
      </c>
      <c r="J17" s="109">
        <v>2.5815151515151752E+16</v>
      </c>
      <c r="K17" s="119">
        <v>721110255092877.25</v>
      </c>
    </row>
    <row r="18" spans="1:11" x14ac:dyDescent="0.2">
      <c r="A18" s="105" t="s">
        <v>94</v>
      </c>
      <c r="B18" s="105" t="s">
        <v>157</v>
      </c>
      <c r="C18" s="105" t="s">
        <v>96</v>
      </c>
      <c r="D18" s="106">
        <f>'Soot Data'!W27</f>
        <v>3518</v>
      </c>
      <c r="E18" s="107">
        <f>'Soot Data'!X27</f>
        <v>9.6593859999999996</v>
      </c>
      <c r="F18" s="108">
        <v>2.0055999999999998</v>
      </c>
      <c r="G18" s="108">
        <v>0.2266</v>
      </c>
      <c r="H18" s="108">
        <v>0.38090000000000002</v>
      </c>
      <c r="I18" s="110">
        <v>0.23589743589743981</v>
      </c>
      <c r="J18" s="109">
        <v>2.2943478260869184E+16</v>
      </c>
      <c r="K18" s="119">
        <v>5957348403441594</v>
      </c>
    </row>
    <row r="19" spans="1:11" x14ac:dyDescent="0.2">
      <c r="A19" s="105" t="s">
        <v>95</v>
      </c>
      <c r="B19" s="105" t="s">
        <v>157</v>
      </c>
      <c r="C19" s="105" t="s">
        <v>96</v>
      </c>
      <c r="D19" s="106">
        <f>'Soot Data'!W28</f>
        <v>4105</v>
      </c>
      <c r="E19" s="107">
        <f>'Soot Data'!X28</f>
        <v>9.6592789999999997</v>
      </c>
      <c r="F19" s="108">
        <v>2.0055999999999998</v>
      </c>
      <c r="G19" s="108">
        <v>0.22620000000000001</v>
      </c>
      <c r="H19" s="108">
        <v>0.38129999999999997</v>
      </c>
      <c r="I19" s="110">
        <v>0.24444444444444066</v>
      </c>
      <c r="J19" s="109">
        <v>2.721818181818224E+16</v>
      </c>
      <c r="K19" s="119">
        <v>1081665382639165.8</v>
      </c>
    </row>
    <row r="20" spans="1:11" x14ac:dyDescent="0.2">
      <c r="A20" s="105" t="s">
        <v>89</v>
      </c>
      <c r="B20" s="105" t="s">
        <v>157</v>
      </c>
      <c r="C20" s="105" t="s">
        <v>100</v>
      </c>
      <c r="D20" s="106">
        <f>'Soot Data'!W23</f>
        <v>3519</v>
      </c>
      <c r="E20" s="107">
        <f>'Soot Data'!X23</f>
        <v>9.6605070000000008</v>
      </c>
      <c r="F20" s="108">
        <v>2.0055999999999998</v>
      </c>
      <c r="G20" s="108">
        <v>0.2238</v>
      </c>
      <c r="H20" s="108">
        <v>0.379</v>
      </c>
      <c r="I20" s="110">
        <v>0.19333333333333425</v>
      </c>
      <c r="J20" s="109">
        <v>2.9279310344827448E+16</v>
      </c>
      <c r="K20" s="119">
        <v>5483611948341159</v>
      </c>
    </row>
    <row r="21" spans="1:11" x14ac:dyDescent="0.2">
      <c r="A21" s="105" t="s">
        <v>90</v>
      </c>
      <c r="B21" s="105" t="s">
        <v>157</v>
      </c>
      <c r="C21" s="105" t="s">
        <v>100</v>
      </c>
      <c r="D21" s="106">
        <f>'Soot Data'!W24</f>
        <v>3518</v>
      </c>
      <c r="E21" s="107">
        <f>'Soot Data'!X24</f>
        <v>9.659948</v>
      </c>
      <c r="F21" s="108">
        <v>2.0055999999999998</v>
      </c>
      <c r="G21" s="108">
        <v>0.2288</v>
      </c>
      <c r="H21" s="108">
        <v>0.37919999999999998</v>
      </c>
      <c r="I21" s="110">
        <v>0.20666666666665501</v>
      </c>
      <c r="J21" s="109">
        <v>2.9235483870969392E+16</v>
      </c>
      <c r="K21" s="119">
        <v>346410161513813.62</v>
      </c>
    </row>
    <row r="22" spans="1:11" x14ac:dyDescent="0.2">
      <c r="A22" s="105" t="s">
        <v>91</v>
      </c>
      <c r="B22" s="105" t="s">
        <v>157</v>
      </c>
      <c r="C22" s="105" t="s">
        <v>100</v>
      </c>
      <c r="D22" s="106">
        <f>'Soot Data'!W25</f>
        <v>3518</v>
      </c>
      <c r="E22" s="107">
        <f>'Soot Data'!X25</f>
        <v>9.6578300000000006</v>
      </c>
      <c r="F22" s="108">
        <v>2.0055999999999998</v>
      </c>
      <c r="G22" s="108">
        <v>0.22739999999999999</v>
      </c>
      <c r="H22" s="108">
        <v>0.37940000000000002</v>
      </c>
      <c r="I22" s="110">
        <v>0.22666666666667501</v>
      </c>
      <c r="J22" s="109">
        <v>2.6132352941175508E+16</v>
      </c>
      <c r="K22" s="119">
        <v>7644979678567104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Soot Data</vt:lpstr>
      <vt:lpstr>Soot density (mg mm-1)</vt:lpstr>
      <vt:lpstr>g factor</vt:lpstr>
      <vt:lpstr>Line Shape</vt:lpstr>
      <vt:lpstr>Integration areas</vt:lpstr>
      <vt:lpstr>spin density (spins mg)</vt:lpstr>
      <vt:lpstr>EPR Params</vt:lpstr>
      <vt:lpstr>Spin Stats</vt:lpstr>
      <vt:lpstr>Table for Paper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Runberg</dc:creator>
  <cp:lastModifiedBy>Heather Runberg</cp:lastModifiedBy>
  <dcterms:created xsi:type="dcterms:W3CDTF">2021-10-11T20:45:02Z</dcterms:created>
  <dcterms:modified xsi:type="dcterms:W3CDTF">2023-01-13T19:40:02Z</dcterms:modified>
</cp:coreProperties>
</file>